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8_{8B2BAE2B-0838-4026-B376-1EE25F9C66F8}" xr6:coauthVersionLast="47" xr6:coauthVersionMax="47" xr10:uidLastSave="{00000000-0000-0000-0000-000000000000}"/>
  <bookViews>
    <workbookView xWindow="3045" yWindow="1620" windowWidth="21600" windowHeight="11280" xr2:uid="{00000000-000D-0000-FFFF-FFFF00000000}"/>
  </bookViews>
  <sheets>
    <sheet name="Sample-1" sheetId="21" r:id="rId1"/>
    <sheet name="Sample-2" sheetId="22" r:id="rId2"/>
    <sheet name="Sample-3" sheetId="23" r:id="rId3"/>
    <sheet name="Sample-4" sheetId="19" r:id="rId4"/>
    <sheet name="Sample-5" sheetId="20" r:id="rId5"/>
    <sheet name="Sample-6" sheetId="12" r:id="rId6"/>
    <sheet name="Sample-7" sheetId="15" r:id="rId7"/>
    <sheet name="Sample-8" sheetId="16" r:id="rId8"/>
    <sheet name="Sample-9" sheetId="24" r:id="rId9"/>
    <sheet name="Sample-10" sheetId="26" r:id="rId10"/>
    <sheet name="Sample-11" sheetId="27" r:id="rId11"/>
    <sheet name="Sample-12" sheetId="28" r:id="rId12"/>
    <sheet name="Sample-13" sheetId="29" r:id="rId13"/>
    <sheet name="Sample-14" sheetId="32" r:id="rId14"/>
    <sheet name="Sample-15" sheetId="30" r:id="rId15"/>
    <sheet name="Sample-16" sheetId="31" r:id="rId16"/>
    <sheet name="Sample-17" sheetId="33" r:id="rId17"/>
    <sheet name="Sample-18" sheetId="34" r:id="rId18"/>
    <sheet name="Sample-19" sheetId="35" r:id="rId19"/>
    <sheet name="Sample-20" sheetId="36" r:id="rId20"/>
    <sheet name="Sample-21" sheetId="38" r:id="rId21"/>
    <sheet name="Sample-22" sheetId="40" r:id="rId22"/>
    <sheet name="Sample-23" sheetId="41" r:id="rId23"/>
    <sheet name="Sample-24" sheetId="42" r:id="rId24"/>
    <sheet name="Sample-25" sheetId="43" r:id="rId25"/>
  </sheets>
  <externalReferences>
    <externalReference r:id="rId26"/>
    <externalReference r:id="rId27"/>
    <externalReference r:id="rId28"/>
    <externalReference r:id="rId29"/>
  </externalReferences>
  <definedNames>
    <definedName name="_AMO_UniqueIdentifier" hidden="1">"'4b7f7163-438f-47c6-a2e4-a1da548a547b'"</definedName>
    <definedName name="_xlnm._FilterDatabase" localSheetId="5" hidden="1">'Sample-6'!$C$7:$G$9</definedName>
    <definedName name="_xlnm._FilterDatabase" localSheetId="6" hidden="1">'Sample-7'!#REF!</definedName>
    <definedName name="Author" localSheetId="17">[1]Tables!$H$2:$H$15</definedName>
    <definedName name="Author">[2]Tables!$H$2:$H$15</definedName>
    <definedName name="B_2019_004" localSheetId="16">#REF!</definedName>
    <definedName name="B_2019_004" localSheetId="17">#REF!</definedName>
    <definedName name="B_2019_004" localSheetId="19">#REF!</definedName>
    <definedName name="B_2019_004" localSheetId="20">#REF!</definedName>
    <definedName name="B_2019_004">#REF!</definedName>
    <definedName name="Bloom_Cog" localSheetId="17">[1]Tables!$F$2:$F$7</definedName>
    <definedName name="Bloom_Cog">[2]Tables!$F$2:$F$7</definedName>
    <definedName name="Bloom_Know" localSheetId="17">[1]Tables!$E$2:$E$4</definedName>
    <definedName name="Bloom_Know">[2]Tables!$E$2:$E$4</definedName>
    <definedName name="blooms_knowledge" localSheetId="9">#REF!</definedName>
    <definedName name="blooms_knowledge" localSheetId="10">#REF!</definedName>
    <definedName name="blooms_knowledge" localSheetId="16">#REF!</definedName>
    <definedName name="blooms_knowledge" localSheetId="17">#REF!</definedName>
    <definedName name="blooms_knowledge" localSheetId="19">#REF!</definedName>
    <definedName name="blooms_knowledge" localSheetId="20">#REF!</definedName>
    <definedName name="blooms_knowledge">#REF!</definedName>
    <definedName name="blooms_process" localSheetId="9">#REF!</definedName>
    <definedName name="blooms_process" localSheetId="10">#REF!</definedName>
    <definedName name="blooms_process" localSheetId="16">#REF!</definedName>
    <definedName name="blooms_process" localSheetId="17">#REF!</definedName>
    <definedName name="blooms_process" localSheetId="19">#REF!</definedName>
    <definedName name="blooms_process" localSheetId="20">#REF!</definedName>
    <definedName name="blooms_process">#REF!</definedName>
    <definedName name="CIQWBGuid" hidden="1">"Spring 2016 Sample Exam template - YC2.xlsx"</definedName>
    <definedName name="Contacts" localSheetId="9">#REF!</definedName>
    <definedName name="Contacts" localSheetId="16">#REF!</definedName>
    <definedName name="Contacts" localSheetId="17">#REF!</definedName>
    <definedName name="Contacts" localSheetId="19">#REF!</definedName>
    <definedName name="Contacts" localSheetId="20">#REF!</definedName>
    <definedName name="Contacts">#REF!</definedName>
    <definedName name="Difficulty" localSheetId="17">[1]Tables!$D$2:$D$6</definedName>
    <definedName name="Difficulty">[2]Tables!$D$2:$D$6</definedName>
    <definedName name="E_X_1M" localSheetId="17">'[1]8'!$E$8</definedName>
    <definedName name="E_X_1M">'[2]8'!$E$8</definedName>
    <definedName name="E_X_2M" localSheetId="17">'[1]8'!$E$9</definedName>
    <definedName name="E_X_2M">'[2]8'!$E$9</definedName>
    <definedName name="E_X_5M" localSheetId="17">'[1]8'!$E$11</definedName>
    <definedName name="E_X_5M">'[2]8'!$E$11</definedName>
    <definedName name="FixALAE" localSheetId="17">'[1]8'!$K$2</definedName>
    <definedName name="FixALAE">'[2]8'!$K$2</definedName>
    <definedName name="G_1M" localSheetId="17">'[1]8'!$Q$12</definedName>
    <definedName name="G_1M">'[2]8'!$Q$12</definedName>
    <definedName name="G_5M" localSheetId="17">'[1]8'!$Q$13</definedName>
    <definedName name="G_5M">'[2]8'!$Q$13</definedName>
    <definedName name="Graders_2011" localSheetId="9">#REF!</definedName>
    <definedName name="Graders_2011" localSheetId="10">#REF!</definedName>
    <definedName name="Graders_2011" localSheetId="16">#REF!</definedName>
    <definedName name="Graders_2011" localSheetId="17">#REF!</definedName>
    <definedName name="Graders_2011" localSheetId="19">#REF!</definedName>
    <definedName name="Graders_2011" localSheetId="20">#REF!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6">#REF!</definedName>
    <definedName name="Lognormal_Mu_Gross" localSheetId="17">#REF!</definedName>
    <definedName name="Lognormal_Mu_Gross" localSheetId="19">#REF!</definedName>
    <definedName name="Lognormal_Mu_Gross" localSheetId="20">#REF!</definedName>
    <definedName name="Lognormal_Mu_Gross">#REF!</definedName>
    <definedName name="Lognormal_Sigma_Gross" localSheetId="16">#REF!</definedName>
    <definedName name="Lognormal_Sigma_Gross" localSheetId="17">#REF!</definedName>
    <definedName name="Lognormal_Sigma_Gross" localSheetId="19">#REF!</definedName>
    <definedName name="Lognormal_Sigma_Gross" localSheetId="20">#REF!</definedName>
    <definedName name="Lognormal_Sigma_Gross">#REF!</definedName>
    <definedName name="MQC" localSheetId="17">'[3]Exam 5 MQC'!$B$3:$B$6</definedName>
    <definedName name="MQC">'[4]Exam 5 MQC'!$B$3:$B$6</definedName>
    <definedName name="MQC_Tier" localSheetId="17">[1]Tables!$G$2:$G$5</definedName>
    <definedName name="MQC_Tier">[2]Tables!$G$2:$G$5</definedName>
    <definedName name="Objective" localSheetId="17">[1]Tables!$B$2:$B$8</definedName>
    <definedName name="Objective">[2]Tables!$B$2:$B$8</definedName>
    <definedName name="P_1M" localSheetId="17">'[1]8'!$K$1</definedName>
    <definedName name="P_1M">'[2]8'!$K$1</definedName>
    <definedName name="_xlnm.Print_Area" localSheetId="10">'Sample-11'!$A$1:$P$65</definedName>
    <definedName name="_xlnm.Print_Area" localSheetId="13">'Sample-14'!$A$1:$P$29</definedName>
    <definedName name="_xlnm.Print_Area" localSheetId="15">'Sample-16'!$A$1:$P$29</definedName>
    <definedName name="reviewer" localSheetId="9">#REF!</definedName>
    <definedName name="reviewer" localSheetId="10">#REF!</definedName>
    <definedName name="reviewer" localSheetId="16">#REF!</definedName>
    <definedName name="reviewer" localSheetId="17">#REF!</definedName>
    <definedName name="reviewer" localSheetId="19">#REF!</definedName>
    <definedName name="reviewer" localSheetId="20">#REF!</definedName>
    <definedName name="reviewer" localSheetId="22">#REF!</definedName>
    <definedName name="reviewer" localSheetId="23">#REF!</definedName>
    <definedName name="reviewer">#REF!</definedName>
    <definedName name="Section" localSheetId="17">[1]Tables!$A$2:$A$4</definedName>
    <definedName name="Section">[2]Tables!$A$2:$A$4</definedName>
    <definedName name="SheetNames" localSheetId="9">#REF!</definedName>
    <definedName name="SheetNames" localSheetId="10">#REF!</definedName>
    <definedName name="SheetNames" localSheetId="16">#REF!</definedName>
    <definedName name="SheetNames" localSheetId="17">#REF!</definedName>
    <definedName name="SheetNames" localSheetId="19">#REF!</definedName>
    <definedName name="SheetNames" localSheetId="20">#REF!</definedName>
    <definedName name="SheetNames">#REF!</definedName>
    <definedName name="VarALAE" localSheetId="17">'[1]8'!$K$3</definedName>
    <definedName name="VarALAE">'[2]8'!$K$3</definedName>
    <definedName name="writer" localSheetId="9">#REF!</definedName>
    <definedName name="writer" localSheetId="10">#REF!</definedName>
    <definedName name="writer" localSheetId="16">#REF!</definedName>
    <definedName name="writer" localSheetId="17">#REF!</definedName>
    <definedName name="writer" localSheetId="19">#REF!</definedName>
    <definedName name="writer" localSheetId="20">#REF!</definedName>
    <definedName name="writer">#REF!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40" l="1"/>
  <c r="D59" i="43"/>
  <c r="D56" i="43"/>
  <c r="D57" i="43" s="1"/>
  <c r="D52" i="43"/>
  <c r="D54" i="43" s="1"/>
  <c r="E42" i="43"/>
  <c r="D42" i="43"/>
  <c r="D43" i="43" s="1"/>
  <c r="F39" i="43"/>
  <c r="G39" i="43" s="1"/>
  <c r="D36" i="43"/>
  <c r="D35" i="43"/>
  <c r="D37" i="43" s="1"/>
  <c r="G31" i="43"/>
  <c r="F31" i="43"/>
  <c r="F32" i="43" s="1"/>
  <c r="E31" i="43"/>
  <c r="E32" i="43" s="1"/>
  <c r="D31" i="43"/>
  <c r="H32" i="43" s="1"/>
  <c r="C67" i="40"/>
  <c r="C59" i="40"/>
  <c r="C57" i="40"/>
  <c r="C61" i="40" s="1"/>
  <c r="C55" i="40"/>
  <c r="C69" i="40" s="1"/>
  <c r="D49" i="40"/>
  <c r="D45" i="40"/>
  <c r="D47" i="40" s="1"/>
  <c r="D44" i="40"/>
  <c r="H40" i="43" l="1"/>
  <c r="E40" i="43"/>
  <c r="F40" i="43"/>
  <c r="H39" i="43"/>
  <c r="H42" i="43" s="1"/>
  <c r="H43" i="43" s="1"/>
  <c r="G42" i="43"/>
  <c r="E43" i="43"/>
  <c r="D50" i="40"/>
  <c r="F42" i="43"/>
  <c r="F43" i="43" s="1"/>
  <c r="G32" i="43"/>
  <c r="G40" i="43" s="1"/>
  <c r="C63" i="40"/>
  <c r="D64" i="34"/>
  <c r="C49" i="38"/>
  <c r="D42" i="38"/>
  <c r="E42" i="38" s="1"/>
  <c r="C42" i="38"/>
  <c r="D41" i="38"/>
  <c r="E41" i="38" s="1"/>
  <c r="C41" i="38"/>
  <c r="D40" i="38"/>
  <c r="E40" i="38" s="1"/>
  <c r="C40" i="38"/>
  <c r="D39" i="38"/>
  <c r="E39" i="38" s="1"/>
  <c r="C39" i="38"/>
  <c r="C48" i="38" s="1"/>
  <c r="D38" i="38"/>
  <c r="C38" i="38"/>
  <c r="G18" i="38"/>
  <c r="F18" i="38"/>
  <c r="H18" i="38" s="1"/>
  <c r="G17" i="38"/>
  <c r="F17" i="38"/>
  <c r="H17" i="38" s="1"/>
  <c r="H16" i="38"/>
  <c r="G16" i="38"/>
  <c r="F16" i="38"/>
  <c r="G15" i="38"/>
  <c r="F15" i="38"/>
  <c r="H15" i="38" s="1"/>
  <c r="G72" i="36"/>
  <c r="F72" i="36"/>
  <c r="E72" i="36"/>
  <c r="D72" i="36"/>
  <c r="G69" i="36"/>
  <c r="F69" i="36"/>
  <c r="E69" i="36"/>
  <c r="D69" i="36"/>
  <c r="D66" i="36"/>
  <c r="C52" i="36"/>
  <c r="C55" i="36" s="1"/>
  <c r="C58" i="36" s="1"/>
  <c r="C62" i="36" s="1"/>
  <c r="F70" i="34"/>
  <c r="E70" i="34"/>
  <c r="C70" i="34"/>
  <c r="E69" i="34"/>
  <c r="F69" i="34" s="1"/>
  <c r="C69" i="34"/>
  <c r="E68" i="34"/>
  <c r="F68" i="34" s="1"/>
  <c r="D72" i="34" s="1"/>
  <c r="C75" i="34" s="1"/>
  <c r="C78" i="34" s="1"/>
  <c r="C81" i="34" s="1"/>
  <c r="C68" i="34"/>
  <c r="C52" i="34"/>
  <c r="C50" i="34"/>
  <c r="C54" i="34" s="1"/>
  <c r="E149" i="24"/>
  <c r="E63" i="27"/>
  <c r="E64" i="27"/>
  <c r="E68" i="27"/>
  <c r="E69" i="27"/>
  <c r="D48" i="33"/>
  <c r="C48" i="33"/>
  <c r="D45" i="33"/>
  <c r="C45" i="33"/>
  <c r="D44" i="33"/>
  <c r="C44" i="33"/>
  <c r="D43" i="33"/>
  <c r="C43" i="33"/>
  <c r="D41" i="33"/>
  <c r="C41" i="33"/>
  <c r="D37" i="33"/>
  <c r="C37" i="33"/>
  <c r="D36" i="33"/>
  <c r="C36" i="33"/>
  <c r="D35" i="33"/>
  <c r="C35" i="33"/>
  <c r="D34" i="33"/>
  <c r="C34" i="33"/>
  <c r="D32" i="33"/>
  <c r="C32" i="33"/>
  <c r="D30" i="33"/>
  <c r="C30" i="33"/>
  <c r="D29" i="33"/>
  <c r="C29" i="33"/>
  <c r="D28" i="33"/>
  <c r="D52" i="33" s="1"/>
  <c r="C28" i="33"/>
  <c r="D44" i="43" l="1"/>
  <c r="G43" i="43"/>
  <c r="F70" i="36"/>
  <c r="F71" i="36" s="1"/>
  <c r="E70" i="36"/>
  <c r="E71" i="36" s="1"/>
  <c r="D70" i="36"/>
  <c r="D71" i="36" s="1"/>
  <c r="D73" i="36" s="1"/>
  <c r="D76" i="36" s="1"/>
  <c r="G70" i="36"/>
  <c r="F73" i="36"/>
  <c r="E73" i="36"/>
  <c r="E43" i="38"/>
  <c r="F40" i="38" s="1"/>
  <c r="C52" i="33"/>
  <c r="C31" i="33"/>
  <c r="C50" i="33" s="1"/>
  <c r="C47" i="33"/>
  <c r="D47" i="33"/>
  <c r="E70" i="27"/>
  <c r="C33" i="33"/>
  <c r="D31" i="33"/>
  <c r="D33" i="33" s="1"/>
  <c r="D46" i="43" l="1"/>
  <c r="D48" i="43" s="1"/>
  <c r="F41" i="38"/>
  <c r="F42" i="38"/>
  <c r="F39" i="38"/>
  <c r="D38" i="33"/>
  <c r="D49" i="33"/>
  <c r="C38" i="33"/>
  <c r="C49" i="33"/>
  <c r="D46" i="33"/>
  <c r="D50" i="33"/>
  <c r="C46" i="33"/>
  <c r="C39" i="33" l="1"/>
  <c r="C40" i="33"/>
  <c r="D39" i="33"/>
  <c r="D40" i="33"/>
  <c r="C42" i="33" l="1"/>
  <c r="C51" i="33"/>
  <c r="C53" i="33" s="1"/>
  <c r="D42" i="33"/>
  <c r="D51" i="33"/>
  <c r="D53" i="33" s="1"/>
  <c r="C55" i="33" l="1"/>
  <c r="D21" i="30"/>
  <c r="F24" i="30" s="1"/>
  <c r="E26" i="30" s="1"/>
  <c r="E38" i="29"/>
  <c r="D38" i="29"/>
  <c r="C38" i="29"/>
  <c r="E37" i="29"/>
  <c r="E42" i="29" s="1"/>
  <c r="D37" i="29"/>
  <c r="D42" i="29" s="1"/>
  <c r="C37" i="29"/>
  <c r="C42" i="29" s="1"/>
  <c r="E92" i="28"/>
  <c r="D92" i="28"/>
  <c r="E91" i="28"/>
  <c r="D91" i="28"/>
  <c r="E90" i="28"/>
  <c r="D90" i="28"/>
  <c r="E89" i="28"/>
  <c r="D89" i="28"/>
  <c r="E62" i="27"/>
  <c r="E65" i="27" s="1"/>
  <c r="F52" i="27"/>
  <c r="E52" i="27"/>
  <c r="D52" i="27"/>
  <c r="C52" i="27"/>
  <c r="C53" i="27" s="1"/>
  <c r="D51" i="27"/>
  <c r="E51" i="27" s="1"/>
  <c r="C48" i="27"/>
  <c r="C47" i="27"/>
  <c r="C46" i="27"/>
  <c r="C49" i="27" s="1"/>
  <c r="B17" i="27"/>
  <c r="B16" i="27"/>
  <c r="B10" i="27"/>
  <c r="B9" i="27"/>
  <c r="C35" i="26"/>
  <c r="C27" i="26"/>
  <c r="C31" i="26" s="1"/>
  <c r="C24" i="26"/>
  <c r="C39" i="26" s="1"/>
  <c r="D53" i="27" l="1"/>
  <c r="F42" i="29"/>
  <c r="C39" i="29"/>
  <c r="E53" i="27"/>
  <c r="F51" i="27"/>
  <c r="F53" i="27" s="1"/>
  <c r="E54" i="27"/>
  <c r="E55" i="27" s="1"/>
  <c r="E56" i="27" s="1"/>
  <c r="C54" i="27"/>
  <c r="F54" i="27"/>
  <c r="F55" i="27" s="1"/>
  <c r="F56" i="27" s="1"/>
  <c r="D54" i="27"/>
  <c r="D55" i="27" s="1"/>
  <c r="D56" i="27" s="1"/>
  <c r="C49" i="29"/>
  <c r="C47" i="29"/>
  <c r="F37" i="29"/>
  <c r="D39" i="29"/>
  <c r="E39" i="29"/>
  <c r="E49" i="29" s="1"/>
  <c r="D49" i="29"/>
  <c r="AZ243" i="24"/>
  <c r="AZ239" i="24"/>
  <c r="AZ238" i="24"/>
  <c r="AZ237" i="24"/>
  <c r="AZ236" i="24"/>
  <c r="AZ235" i="24"/>
  <c r="AZ234" i="24"/>
  <c r="AZ233" i="24"/>
  <c r="AZ232" i="24"/>
  <c r="AZ231" i="24"/>
  <c r="AZ230" i="24"/>
  <c r="AZ227" i="24"/>
  <c r="BB239" i="24" s="1"/>
  <c r="BD239" i="24" s="1"/>
  <c r="AZ222" i="24"/>
  <c r="AZ255" i="24" s="1"/>
  <c r="AZ221" i="24"/>
  <c r="AZ220" i="24"/>
  <c r="AZ219" i="24"/>
  <c r="AZ218" i="24"/>
  <c r="AZ217" i="24"/>
  <c r="AZ216" i="24"/>
  <c r="AZ215" i="24"/>
  <c r="AZ214" i="24"/>
  <c r="AZ213" i="24"/>
  <c r="AN213" i="24"/>
  <c r="AN214" i="24" s="1"/>
  <c r="AN215" i="24" s="1"/>
  <c r="AN216" i="24" s="1"/>
  <c r="AN217" i="24" s="1"/>
  <c r="AN218" i="24" s="1"/>
  <c r="AN219" i="24" s="1"/>
  <c r="AN220" i="24" s="1"/>
  <c r="AN221" i="24" s="1"/>
  <c r="AN222" i="24" s="1"/>
  <c r="AN223" i="24" s="1"/>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U210" i="24"/>
  <c r="AU212" i="24" s="1"/>
  <c r="AU213" i="24" s="1"/>
  <c r="AU214" i="24" s="1"/>
  <c r="AU215" i="24" s="1"/>
  <c r="AU216" i="24" s="1"/>
  <c r="AU217" i="24" s="1"/>
  <c r="AU218" i="24" s="1"/>
  <c r="AU219" i="24" s="1"/>
  <c r="AU220" i="24" s="1"/>
  <c r="AU221" i="24" s="1"/>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Q210" i="24"/>
  <c r="AQ212" i="24" s="1"/>
  <c r="AQ213" i="24" s="1"/>
  <c r="AQ214" i="24" s="1"/>
  <c r="AQ215" i="24" s="1"/>
  <c r="AQ216" i="24" s="1"/>
  <c r="AQ217" i="24" s="1"/>
  <c r="AQ218" i="24" s="1"/>
  <c r="AQ219" i="24" s="1"/>
  <c r="AQ220" i="24" s="1"/>
  <c r="AQ221" i="24" s="1"/>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Z209" i="24"/>
  <c r="BB218" i="24" s="1"/>
  <c r="AZ200" i="24"/>
  <c r="G167" i="24"/>
  <c r="F167" i="24"/>
  <c r="E167" i="24"/>
  <c r="D167" i="24"/>
  <c r="G160" i="24"/>
  <c r="G162" i="24" s="1"/>
  <c r="F160" i="24"/>
  <c r="F162" i="24" s="1"/>
  <c r="E160" i="24"/>
  <c r="E161" i="24" s="1"/>
  <c r="D160" i="24"/>
  <c r="D162" i="24" s="1"/>
  <c r="G159" i="24"/>
  <c r="F159" i="24"/>
  <c r="E159" i="24"/>
  <c r="D159" i="24"/>
  <c r="G139" i="24"/>
  <c r="F139" i="24"/>
  <c r="E139" i="24"/>
  <c r="D139" i="24"/>
  <c r="G138" i="24"/>
  <c r="F138" i="24"/>
  <c r="E138" i="24"/>
  <c r="D138" i="24"/>
  <c r="G132" i="24"/>
  <c r="F132" i="24"/>
  <c r="E132" i="24"/>
  <c r="D132" i="24"/>
  <c r="D133" i="24" s="1"/>
  <c r="G131" i="24"/>
  <c r="F131" i="24"/>
  <c r="E131" i="24"/>
  <c r="D131" i="24"/>
  <c r="D107" i="24"/>
  <c r="D106" i="24"/>
  <c r="D85" i="24"/>
  <c r="E133" i="24" l="1"/>
  <c r="F133" i="24"/>
  <c r="G133" i="24"/>
  <c r="D47" i="29"/>
  <c r="F39" i="29"/>
  <c r="C44" i="29" s="1"/>
  <c r="E47" i="29"/>
  <c r="C50" i="29" s="1"/>
  <c r="G54" i="27"/>
  <c r="C55" i="27"/>
  <c r="D161" i="24"/>
  <c r="E162" i="24"/>
  <c r="F161" i="24"/>
  <c r="AZ253" i="24"/>
  <c r="G161" i="24"/>
  <c r="AZ247" i="24"/>
  <c r="AZ254" i="24"/>
  <c r="AZ249" i="24"/>
  <c r="AZ250" i="24"/>
  <c r="AZ251" i="24"/>
  <c r="AZ246" i="24"/>
  <c r="AZ248" i="24"/>
  <c r="AZ252" i="24"/>
  <c r="F140" i="24"/>
  <c r="G140" i="24"/>
  <c r="D141" i="24"/>
  <c r="D168" i="24" s="1"/>
  <c r="BA231" i="24"/>
  <c r="BC231" i="24" s="1"/>
  <c r="AT189" i="24" s="1"/>
  <c r="BA233" i="24"/>
  <c r="BC233" i="24" s="1"/>
  <c r="AT191" i="24" s="1"/>
  <c r="BA230" i="24"/>
  <c r="BC230" i="24" s="1"/>
  <c r="BE230" i="24" s="1"/>
  <c r="BH230" i="24" s="1"/>
  <c r="BA232" i="24"/>
  <c r="BC232" i="24" s="1"/>
  <c r="BA234" i="24"/>
  <c r="BC234" i="24" s="1"/>
  <c r="BE234" i="24" s="1"/>
  <c r="BH234" i="24" s="1"/>
  <c r="E140" i="24"/>
  <c r="BA235" i="24"/>
  <c r="BC235" i="24" s="1"/>
  <c r="AT193" i="24" s="1"/>
  <c r="BA239" i="24"/>
  <c r="BC239" i="24" s="1"/>
  <c r="AT197" i="24" s="1"/>
  <c r="BA236" i="24"/>
  <c r="BC236" i="24" s="1"/>
  <c r="AT194" i="24" s="1"/>
  <c r="BA237" i="24"/>
  <c r="BC237" i="24" s="1"/>
  <c r="AT195" i="24" s="1"/>
  <c r="BA238" i="24"/>
  <c r="BC238" i="24" s="1"/>
  <c r="AT196" i="24" s="1"/>
  <c r="BD218" i="24"/>
  <c r="AU197" i="24"/>
  <c r="BF239" i="24"/>
  <c r="BI239" i="24" s="1"/>
  <c r="BA216" i="24"/>
  <c r="BA220" i="24"/>
  <c r="BB220" i="24"/>
  <c r="G141" i="24"/>
  <c r="BA219" i="24"/>
  <c r="AT192" i="24"/>
  <c r="BA215" i="24"/>
  <c r="BB216" i="24"/>
  <c r="E141" i="24"/>
  <c r="BA213" i="24"/>
  <c r="BA217" i="24"/>
  <c r="BA221" i="24"/>
  <c r="BB213" i="24"/>
  <c r="BB221" i="24"/>
  <c r="BB219" i="24"/>
  <c r="BB217" i="24"/>
  <c r="AT190" i="24"/>
  <c r="BE232" i="24"/>
  <c r="BH232" i="24" s="1"/>
  <c r="D140" i="24"/>
  <c r="BA222" i="24"/>
  <c r="BA214" i="24"/>
  <c r="BA218" i="24"/>
  <c r="BB222" i="24"/>
  <c r="BE233" i="24"/>
  <c r="BH233" i="24" s="1"/>
  <c r="BB215" i="24"/>
  <c r="F141" i="24"/>
  <c r="BB214" i="24"/>
  <c r="D108" i="24"/>
  <c r="E106" i="24" s="1"/>
  <c r="BB230" i="24"/>
  <c r="BD230" i="24" s="1"/>
  <c r="BB231" i="24"/>
  <c r="BD231" i="24" s="1"/>
  <c r="BB232" i="24"/>
  <c r="BD232" i="24" s="1"/>
  <c r="BB233" i="24"/>
  <c r="BD233" i="24" s="1"/>
  <c r="BB234" i="24"/>
  <c r="BD234" i="24" s="1"/>
  <c r="BB235" i="24"/>
  <c r="BD235" i="24" s="1"/>
  <c r="BB236" i="24"/>
  <c r="BD236" i="24" s="1"/>
  <c r="BB237" i="24"/>
  <c r="BD237" i="24" s="1"/>
  <c r="BB238" i="24"/>
  <c r="BD238" i="24" s="1"/>
  <c r="G55" i="27" l="1"/>
  <c r="C56" i="27"/>
  <c r="G56" i="27" s="1"/>
  <c r="D58" i="27" s="1"/>
  <c r="BE239" i="24"/>
  <c r="BH239" i="24" s="1"/>
  <c r="BE237" i="24"/>
  <c r="BH237" i="24" s="1"/>
  <c r="BE238" i="24"/>
  <c r="BH238" i="24" s="1"/>
  <c r="BE231" i="24"/>
  <c r="BH231" i="24" s="1"/>
  <c r="AT188" i="24"/>
  <c r="D142" i="24"/>
  <c r="BE236" i="24"/>
  <c r="BH236" i="24" s="1"/>
  <c r="BE235" i="24"/>
  <c r="BH235" i="24" s="1"/>
  <c r="F106" i="24"/>
  <c r="BB246" i="24"/>
  <c r="BD246" i="24" s="1"/>
  <c r="BD213" i="24"/>
  <c r="BB254" i="24"/>
  <c r="BD254" i="24" s="1"/>
  <c r="BD221" i="24"/>
  <c r="BF238" i="24"/>
  <c r="BI238" i="24" s="1"/>
  <c r="AU196" i="24"/>
  <c r="F168" i="24"/>
  <c r="F142" i="24"/>
  <c r="BA255" i="24"/>
  <c r="BC255" i="24" s="1"/>
  <c r="BC222" i="24"/>
  <c r="BA254" i="24"/>
  <c r="BC254" i="24" s="1"/>
  <c r="BC221" i="24"/>
  <c r="BA253" i="24"/>
  <c r="BC253" i="24" s="1"/>
  <c r="BC220" i="24"/>
  <c r="BA247" i="24"/>
  <c r="BC247" i="24" s="1"/>
  <c r="BC214" i="24"/>
  <c r="AU195" i="24"/>
  <c r="BF237" i="24"/>
  <c r="BI237" i="24" s="1"/>
  <c r="D172" i="24"/>
  <c r="D171" i="24"/>
  <c r="D173" i="24"/>
  <c r="BA250" i="24"/>
  <c r="BC250" i="24" s="1"/>
  <c r="BC217" i="24"/>
  <c r="BA249" i="24"/>
  <c r="BC249" i="24" s="1"/>
  <c r="BC216" i="24"/>
  <c r="BB248" i="24"/>
  <c r="BD248" i="24" s="1"/>
  <c r="BD215" i="24"/>
  <c r="BA246" i="24"/>
  <c r="BC246" i="24" s="1"/>
  <c r="BC213" i="24"/>
  <c r="BB247" i="24"/>
  <c r="BD247" i="24" s="1"/>
  <c r="BD214" i="24"/>
  <c r="AU193" i="24"/>
  <c r="BF235" i="24"/>
  <c r="BI235" i="24" s="1"/>
  <c r="H141" i="24"/>
  <c r="E147" i="24" s="1"/>
  <c r="BF236" i="24"/>
  <c r="BI236" i="24" s="1"/>
  <c r="AU194" i="24"/>
  <c r="BF234" i="24"/>
  <c r="BI234" i="24" s="1"/>
  <c r="AU192" i="24"/>
  <c r="E168" i="24"/>
  <c r="E142" i="24"/>
  <c r="BA252" i="24"/>
  <c r="BC252" i="24" s="1"/>
  <c r="BC219" i="24"/>
  <c r="AU191" i="24"/>
  <c r="BF233" i="24"/>
  <c r="BI233" i="24" s="1"/>
  <c r="BB250" i="24"/>
  <c r="BD250" i="24" s="1"/>
  <c r="BD217" i="24"/>
  <c r="G142" i="24"/>
  <c r="G168" i="24"/>
  <c r="BA248" i="24"/>
  <c r="BC248" i="24" s="1"/>
  <c r="BC215" i="24"/>
  <c r="BF232" i="24"/>
  <c r="BI232" i="24" s="1"/>
  <c r="AU190" i="24"/>
  <c r="E107" i="24"/>
  <c r="F107" i="24" s="1"/>
  <c r="E125" i="24" s="1"/>
  <c r="E126" i="24" s="1"/>
  <c r="AO193" i="24"/>
  <c r="BF218" i="24"/>
  <c r="BI218" i="24" s="1"/>
  <c r="AU189" i="24"/>
  <c r="BF231" i="24"/>
  <c r="BI231" i="24" s="1"/>
  <c r="BB255" i="24"/>
  <c r="BD255" i="24" s="1"/>
  <c r="BD222" i="24"/>
  <c r="BB252" i="24"/>
  <c r="BD252" i="24" s="1"/>
  <c r="BD219" i="24"/>
  <c r="BB253" i="24"/>
  <c r="BD253" i="24" s="1"/>
  <c r="BD220" i="24"/>
  <c r="BB251" i="24"/>
  <c r="BD251" i="24" s="1"/>
  <c r="BF230" i="24"/>
  <c r="BI230" i="24" s="1"/>
  <c r="AU188" i="24"/>
  <c r="BA251" i="24"/>
  <c r="BC251" i="24" s="1"/>
  <c r="BC218" i="24"/>
  <c r="BB249" i="24"/>
  <c r="BD249" i="24" s="1"/>
  <c r="BD216" i="24"/>
  <c r="F143" i="24" l="1"/>
  <c r="E143" i="24"/>
  <c r="D143" i="24"/>
  <c r="G143" i="24"/>
  <c r="BE246" i="24"/>
  <c r="BH246" i="24" s="1"/>
  <c r="AZ188" i="24"/>
  <c r="BF252" i="24"/>
  <c r="BI252" i="24" s="1"/>
  <c r="BA194" i="24"/>
  <c r="BF255" i="24"/>
  <c r="BI255" i="24" s="1"/>
  <c r="BA197" i="24"/>
  <c r="BE248" i="24"/>
  <c r="BH248" i="24" s="1"/>
  <c r="AZ190" i="24"/>
  <c r="H142" i="24"/>
  <c r="E148" i="24" s="1"/>
  <c r="G171" i="24"/>
  <c r="G172" i="24"/>
  <c r="G173" i="24"/>
  <c r="BF215" i="24"/>
  <c r="BI215" i="24" s="1"/>
  <c r="AO190" i="24"/>
  <c r="BF248" i="24"/>
  <c r="BI248" i="24" s="1"/>
  <c r="BA190" i="24"/>
  <c r="AN189" i="24"/>
  <c r="BE214" i="24"/>
  <c r="BH214" i="24" s="1"/>
  <c r="BE213" i="24"/>
  <c r="BH213" i="24" s="1"/>
  <c r="AN188" i="24"/>
  <c r="AO191" i="24"/>
  <c r="BF216" i="24"/>
  <c r="BI216" i="24" s="1"/>
  <c r="AN191" i="24"/>
  <c r="BE216" i="24"/>
  <c r="BH216" i="24" s="1"/>
  <c r="AZ189" i="24"/>
  <c r="BE247" i="24"/>
  <c r="BH247" i="24" s="1"/>
  <c r="BF221" i="24"/>
  <c r="BI221" i="24" s="1"/>
  <c r="AO196" i="24"/>
  <c r="BF249" i="24"/>
  <c r="BI249" i="24" s="1"/>
  <c r="BA191" i="24"/>
  <c r="AZ191" i="24"/>
  <c r="BE249" i="24"/>
  <c r="BH249" i="24" s="1"/>
  <c r="BE220" i="24"/>
  <c r="BH220" i="24" s="1"/>
  <c r="AN195" i="24"/>
  <c r="BF254" i="24"/>
  <c r="BI254" i="24" s="1"/>
  <c r="BA196" i="24"/>
  <c r="F172" i="24"/>
  <c r="F173" i="24"/>
  <c r="F171" i="24"/>
  <c r="BF251" i="24"/>
  <c r="BI251" i="24" s="1"/>
  <c r="BA193" i="24"/>
  <c r="BF250" i="24"/>
  <c r="BI250" i="24" s="1"/>
  <c r="BA192" i="24"/>
  <c r="BE217" i="24"/>
  <c r="BH217" i="24" s="1"/>
  <c r="AN192" i="24"/>
  <c r="AZ195" i="24"/>
  <c r="BE253" i="24"/>
  <c r="BH253" i="24" s="1"/>
  <c r="BF213" i="24"/>
  <c r="BI213" i="24" s="1"/>
  <c r="AO188" i="24"/>
  <c r="AZ197" i="24"/>
  <c r="BE255" i="24"/>
  <c r="BH255" i="24" s="1"/>
  <c r="BE215" i="24"/>
  <c r="BH215" i="24" s="1"/>
  <c r="AN190" i="24"/>
  <c r="AZ193" i="24"/>
  <c r="BE251" i="24"/>
  <c r="BH251" i="24" s="1"/>
  <c r="BF217" i="24"/>
  <c r="BI217" i="24" s="1"/>
  <c r="AO192" i="24"/>
  <c r="AO195" i="24"/>
  <c r="BF220" i="24"/>
  <c r="BI220" i="24" s="1"/>
  <c r="BE250" i="24"/>
  <c r="BH250" i="24" s="1"/>
  <c r="AZ192" i="24"/>
  <c r="BE221" i="24"/>
  <c r="BH221" i="24" s="1"/>
  <c r="AN196" i="24"/>
  <c r="BF246" i="24"/>
  <c r="BI246" i="24" s="1"/>
  <c r="BA188" i="24"/>
  <c r="AZ194" i="24"/>
  <c r="BE252" i="24"/>
  <c r="BH252" i="24" s="1"/>
  <c r="E171" i="24"/>
  <c r="E172" i="24"/>
  <c r="E173" i="24"/>
  <c r="BF253" i="24"/>
  <c r="BI253" i="24" s="1"/>
  <c r="BA195" i="24"/>
  <c r="AO189" i="24"/>
  <c r="BF214" i="24"/>
  <c r="BI214" i="24" s="1"/>
  <c r="BE254" i="24"/>
  <c r="BH254" i="24" s="1"/>
  <c r="AZ196" i="24"/>
  <c r="F108" i="24"/>
  <c r="AO197" i="24"/>
  <c r="BF222" i="24"/>
  <c r="BI222" i="24" s="1"/>
  <c r="BE218" i="24"/>
  <c r="BH218" i="24" s="1"/>
  <c r="AN193" i="24"/>
  <c r="BF219" i="24"/>
  <c r="BI219" i="24" s="1"/>
  <c r="AO194" i="24"/>
  <c r="BE219" i="24"/>
  <c r="BH219" i="24" s="1"/>
  <c r="AN194" i="24"/>
  <c r="BF247" i="24"/>
  <c r="BI247" i="24" s="1"/>
  <c r="BA189" i="24"/>
  <c r="H168" i="24"/>
  <c r="AN197" i="24"/>
  <c r="BE222" i="24"/>
  <c r="BH222" i="24" s="1"/>
  <c r="E108" i="24"/>
  <c r="H173" i="24" l="1"/>
  <c r="H143" i="24"/>
  <c r="H171" i="24"/>
  <c r="H172" i="24"/>
  <c r="E150" i="24"/>
  <c r="I172" i="24"/>
  <c r="J172" i="24" s="1"/>
  <c r="I171" i="24"/>
  <c r="J171" i="24" s="1"/>
  <c r="I173" i="24"/>
  <c r="J173" i="24" s="1"/>
  <c r="D179" i="24" s="1"/>
  <c r="E42" i="23" l="1"/>
  <c r="E38" i="23"/>
  <c r="E37" i="23"/>
  <c r="E39" i="23" s="1"/>
  <c r="E32" i="23"/>
  <c r="E31" i="23"/>
  <c r="E33" i="23" s="1"/>
  <c r="E28" i="21"/>
  <c r="E29" i="21" s="1"/>
  <c r="F27" i="21"/>
  <c r="E27" i="21"/>
  <c r="D27" i="21"/>
  <c r="E30" i="21" l="1"/>
  <c r="G25" i="20" l="1"/>
  <c r="F25" i="20"/>
  <c r="E25" i="20"/>
  <c r="F24" i="20"/>
  <c r="G24" i="20" s="1"/>
  <c r="G23" i="20"/>
  <c r="F23" i="20"/>
  <c r="E23" i="20"/>
  <c r="F36" i="19"/>
  <c r="F37" i="19" s="1"/>
  <c r="E36" i="19"/>
  <c r="D36" i="19"/>
  <c r="D37" i="19" s="1"/>
  <c r="F33" i="19"/>
  <c r="F34" i="19" s="1"/>
  <c r="E33" i="19"/>
  <c r="E34" i="19" s="1"/>
  <c r="D33" i="19"/>
  <c r="G36" i="19" l="1"/>
  <c r="G26" i="20"/>
  <c r="E26" i="20"/>
  <c r="G33" i="19"/>
  <c r="D34" i="19"/>
  <c r="G34" i="19" s="1"/>
  <c r="D39" i="19" s="1"/>
  <c r="F26" i="20"/>
  <c r="E28" i="20" s="1"/>
  <c r="E37" i="19"/>
  <c r="G37" i="19" s="1"/>
  <c r="D40" i="19" s="1"/>
  <c r="E30" i="20" l="1"/>
  <c r="E31" i="20" s="1"/>
  <c r="D41" i="19"/>
  <c r="E32" i="16" l="1"/>
  <c r="E45" i="16" l="1"/>
  <c r="E40" i="16"/>
  <c r="E39" i="16"/>
  <c r="E33" i="16"/>
  <c r="E34" i="16" s="1"/>
  <c r="F26" i="15"/>
  <c r="I26" i="15" s="1"/>
  <c r="J25" i="15"/>
  <c r="E25" i="15"/>
  <c r="K25" i="15" s="1"/>
  <c r="G26" i="15" s="1"/>
  <c r="H26" i="15" s="1"/>
  <c r="J26" i="15" l="1"/>
  <c r="E41" i="16"/>
  <c r="D26" i="15"/>
  <c r="K26" i="15" s="1"/>
  <c r="G27" i="15" s="1"/>
  <c r="F27" i="15"/>
  <c r="H27" i="15" l="1"/>
  <c r="F28" i="15"/>
  <c r="I28" i="15" s="1"/>
  <c r="I27" i="15"/>
  <c r="D27" i="15" l="1"/>
  <c r="J27" i="15" l="1"/>
  <c r="K27" i="15" s="1"/>
  <c r="G28" i="15" s="1"/>
  <c r="H28" i="15" l="1"/>
  <c r="J28" i="15" s="1"/>
  <c r="D28" i="15"/>
  <c r="K28" i="15" s="1"/>
</calcChain>
</file>

<file path=xl/sharedStrings.xml><?xml version="1.0" encoding="utf-8"?>
<sst xmlns="http://schemas.openxmlformats.org/spreadsheetml/2006/main" count="1492" uniqueCount="1038">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</sst>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quot;$&quot;* #,##0.00_-;\-&quot;$&quot;* #,##0.00_-;_-&quot;$&quot;* &quot;-&quot;??_-;_-@_-"/>
    <numFmt numFmtId="165" formatCode="_-* #,##0.00_-;\-* #,##0.00_-;_-* &quot;-&quot;??_-;_-@_-"/>
    <numFmt numFmtId="166" formatCode="_(* #,##0_);_(* \(#,##0\);_(* &quot;-&quot;??_);_(@_)"/>
    <numFmt numFmtId="167" formatCode="_(* #,##0.00_);_(* \(#,##0.00\);_(* \-??_);_(@_)"/>
    <numFmt numFmtId="168" formatCode="_(* #,##0_);_(* \(#,##0\);_(* \-??_);_(@_)"/>
    <numFmt numFmtId="169" formatCode="_(* #,##0.0000_);_(* \(#,##0.0000\);_(* &quot;-&quot;??_);_(@_)"/>
    <numFmt numFmtId="170" formatCode="0.0000"/>
    <numFmt numFmtId="171" formatCode="0.000000000"/>
    <numFmt numFmtId="172" formatCode="0.0%"/>
    <numFmt numFmtId="173" formatCode="\$#,##0"/>
    <numFmt numFmtId="174" formatCode="_-* #,##0_-;\-* #,##0_-;_-* &quot;-&quot;??_-;_-@_-"/>
    <numFmt numFmtId="175" formatCode="0.0"/>
    <numFmt numFmtId="176" formatCode="#,##0;\(#,##0\)"/>
    <numFmt numFmtId="177" formatCode="#,##0.00;\(#,##0.00\)"/>
    <numFmt numFmtId="178" formatCode="#,##0.0000"/>
    <numFmt numFmtId="179" formatCode="0_);[Red]\(0\)"/>
    <numFmt numFmtId="180" formatCode="#,##0.0"/>
    <numFmt numFmtId="181" formatCode="_ * #,##0.00_)\ &quot;$&quot;_ ;_ * \(#,##0.00\)\ &quot;$&quot;_ ;_ * &quot;-&quot;??_)\ &quot;$&quot;_ ;_ @_ "/>
    <numFmt numFmtId="182" formatCode="_ * #,##0.00_)_ ;_ * \(#,##0.00\)_ ;_ * &quot;-&quot;??_)_ ;_ @_ "/>
    <numFmt numFmtId="183" formatCode="&quot;$&quot;#,##0"/>
    <numFmt numFmtId="184" formatCode="_ * #,##0_)\ &quot;$&quot;_ ;_ * \(#,##0\)\ &quot;$&quot;_ ;_ * &quot;-&quot;??_)\ &quot;$&quot;_ ;_ @_ "/>
    <numFmt numFmtId="185" formatCode="&quot;$&quot;#,##0.00"/>
    <numFmt numFmtId="186" formatCode="_ * #,##0.0_)_ ;_ * \(#,##0.0\)_ ;_ * &quot;-&quot;??_)_ ;_ @_ "/>
    <numFmt numFmtId="187" formatCode="_ * #,##0_)_ ;_ * \(#,##0\)_ ;_ * &quot;-&quot;??_)_ ;_ @_ "/>
    <numFmt numFmtId="188" formatCode="_ * #,##0.000_)_ ;_ * \(#,##0.000\)_ ;_ * &quot;-&quot;??_)_ ;_ @_ "/>
    <numFmt numFmtId="189" formatCode="_ * #,##0_)\ _$_ ;_ * \(#,##0\)\ _$_ ;_ * &quot;-&quot;??_)\ _$_ ;_ @_ "/>
    <numFmt numFmtId="190" formatCode="0.000000000000000%"/>
  </numFmts>
  <fonts count="51" x14ac:knownFonts="1">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s>
  <cellStyleXfs count="46">
    <xf numFmtId="0" fontId="0" fillId="0" borderId="0"/>
    <xf numFmtId="0" fontId="1" fillId="0" borderId="0"/>
    <xf numFmtId="0" fontId="1" fillId="0" borderId="0"/>
    <xf numFmtId="9" fontId="1" fillId="0" borderId="0" applyFont="0" applyFill="0" applyBorder="0" applyAlignment="0" applyProtection="0"/>
    <xf numFmtId="0" fontId="4" fillId="0" borderId="0"/>
    <xf numFmtId="167" fontId="4" fillId="0" borderId="0" applyBorder="0" applyProtection="0"/>
    <xf numFmtId="0" fontId="5" fillId="0" borderId="0"/>
    <xf numFmtId="0" fontId="6" fillId="0" borderId="0"/>
    <xf numFmtId="0" fontId="6" fillId="0" borderId="0"/>
    <xf numFmtId="167"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43" fontId="6" fillId="0" borderId="0" applyFont="0" applyFill="0" applyBorder="0" applyAlignment="0" applyProtection="0"/>
    <xf numFmtId="0" fontId="1" fillId="0" borderId="0"/>
    <xf numFmtId="43"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7" fontId="6" fillId="0" borderId="0" applyBorder="0" applyProtection="0"/>
    <xf numFmtId="0" fontId="1" fillId="0" borderId="0"/>
    <xf numFmtId="0" fontId="1" fillId="0" borderId="0"/>
    <xf numFmtId="43" fontId="6" fillId="0" borderId="0" applyFont="0" applyFill="0" applyBorder="0" applyAlignment="0" applyProtection="0"/>
    <xf numFmtId="0" fontId="1" fillId="0" borderId="0"/>
    <xf numFmtId="43" fontId="6" fillId="0" borderId="0" applyFont="0" applyFill="0" applyBorder="0" applyAlignment="0" applyProtection="0"/>
    <xf numFmtId="0" fontId="1" fillId="0" borderId="0"/>
    <xf numFmtId="0" fontId="1" fillId="0" borderId="0"/>
    <xf numFmtId="181" fontId="6" fillId="0" borderId="0" applyFont="0" applyFill="0" applyBorder="0" applyAlignment="0" applyProtection="0"/>
    <xf numFmtId="9" fontId="4" fillId="0" borderId="0" applyFont="0" applyFill="0" applyBorder="0" applyAlignment="0" applyProtection="0"/>
    <xf numFmtId="182" fontId="6" fillId="0" borderId="0" applyFont="0" applyFill="0" applyBorder="0" applyAlignment="0" applyProtection="0"/>
    <xf numFmtId="165" fontId="6" fillId="0" borderId="0" applyFont="0" applyFill="0" applyBorder="0" applyAlignment="0" applyProtection="0"/>
    <xf numFmtId="181" fontId="6" fillId="0" borderId="0" applyFont="0" applyFill="0" applyBorder="0" applyAlignment="0" applyProtection="0"/>
  </cellStyleXfs>
  <cellXfs count="749">
    <xf numFmtId="0" fontId="0" fillId="0" borderId="0" xfId="0"/>
    <xf numFmtId="37" fontId="3" fillId="2" borderId="10" xfId="5" applyNumberFormat="1" applyFont="1" applyFill="1" applyBorder="1" applyAlignment="1" applyProtection="1">
      <alignment horizontal="center"/>
      <protection locked="0"/>
    </xf>
    <xf numFmtId="168"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8"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8"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43"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2" fontId="1" fillId="0" borderId="0" xfId="11" applyNumberFormat="1" applyFont="1" applyAlignment="1"/>
    <xf numFmtId="43"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43" fontId="3" fillId="0" borderId="0" xfId="17" applyFont="1"/>
    <xf numFmtId="43" fontId="13" fillId="0" borderId="0" xfId="17" applyFont="1" applyAlignment="1" applyProtection="1">
      <alignment horizontal="center"/>
      <protection locked="0"/>
    </xf>
    <xf numFmtId="43" fontId="3" fillId="0" borderId="0" xfId="17" applyFont="1" applyProtection="1">
      <protection locked="0"/>
    </xf>
    <xf numFmtId="0" fontId="0" fillId="0" borderId="0" xfId="6" applyFont="1"/>
    <xf numFmtId="43"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horizontal="right"/>
      <protection locked="0"/>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3"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4"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3"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4"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165"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8" fontId="3" fillId="2" borderId="24" xfId="13" applyNumberFormat="1" applyFont="1" applyFill="1" applyBorder="1"/>
    <xf numFmtId="168" fontId="3" fillId="2" borderId="17" xfId="13" applyNumberFormat="1" applyFont="1" applyFill="1" applyBorder="1"/>
    <xf numFmtId="168" fontId="3" fillId="2" borderId="25" xfId="13" applyNumberFormat="1" applyFont="1" applyFill="1" applyBorder="1"/>
    <xf numFmtId="0" fontId="2" fillId="0" borderId="0" xfId="7" quotePrefix="1" applyFont="1" applyProtection="1">
      <protection locked="0"/>
    </xf>
    <xf numFmtId="168" fontId="8" fillId="5" borderId="0" xfId="13" applyNumberFormat="1" applyFont="1" applyFill="1" applyBorder="1"/>
    <xf numFmtId="174"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2" fontId="8" fillId="3" borderId="0" xfId="7" applyNumberFormat="1" applyFont="1" applyFill="1" applyAlignment="1">
      <alignment horizontal="right" wrapText="1"/>
    </xf>
    <xf numFmtId="2" fontId="3" fillId="3" borderId="0" xfId="7" applyNumberFormat="1" applyFont="1" applyFill="1" applyAlignment="1">
      <alignment vertical="center"/>
    </xf>
    <xf numFmtId="168"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164" fontId="3" fillId="0" borderId="0" xfId="23" applyFont="1"/>
    <xf numFmtId="2" fontId="3" fillId="0" borderId="0" xfId="7" quotePrefix="1" applyNumberFormat="1" applyFont="1"/>
    <xf numFmtId="2" fontId="3" fillId="0" borderId="0" xfId="7" applyNumberFormat="1" applyFont="1"/>
    <xf numFmtId="0" fontId="2" fillId="0" borderId="0" xfId="7" applyFont="1"/>
    <xf numFmtId="164" fontId="3" fillId="0" borderId="0" xfId="7" applyNumberFormat="1" applyFont="1"/>
    <xf numFmtId="0" fontId="3" fillId="0" borderId="0" xfId="7" quotePrefix="1" applyFont="1"/>
    <xf numFmtId="164" fontId="6" fillId="0" borderId="0" xfId="23" applyProtection="1">
      <protection locked="0"/>
    </xf>
    <xf numFmtId="168" fontId="6" fillId="0" borderId="0" xfId="13" applyNumberFormat="1" applyProtection="1">
      <protection locked="0"/>
    </xf>
    <xf numFmtId="166" fontId="6" fillId="0" borderId="0" xfId="7" applyNumberFormat="1" applyProtection="1">
      <protection locked="0"/>
    </xf>
    <xf numFmtId="168"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168" fontId="16" fillId="0" borderId="0" xfId="7" applyNumberFormat="1" applyFont="1" applyProtection="1">
      <protection locked="0"/>
    </xf>
    <xf numFmtId="2" fontId="16" fillId="0" borderId="0" xfId="7" applyNumberFormat="1" applyFont="1" applyProtection="1">
      <protection locked="0"/>
    </xf>
    <xf numFmtId="0" fontId="16" fillId="0" borderId="0" xfId="7" applyFont="1" applyAlignment="1" applyProtection="1">
      <alignment horizontal="center" wrapText="1"/>
      <protection locked="0"/>
    </xf>
    <xf numFmtId="0" fontId="16" fillId="0" borderId="0" xfId="7" quotePrefix="1" applyFont="1" applyProtection="1">
      <protection locked="0"/>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2"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6" fontId="3" fillId="0" borderId="16" xfId="14" applyNumberFormat="1" applyFont="1" applyBorder="1"/>
    <xf numFmtId="0" fontId="13" fillId="0" borderId="0" xfId="14" applyFont="1"/>
    <xf numFmtId="43" fontId="3" fillId="0" borderId="0" xfId="14" applyNumberFormat="1" applyFont="1"/>
    <xf numFmtId="0" fontId="3" fillId="0" borderId="0" xfId="14" applyFont="1" applyAlignment="1">
      <alignment horizontal="center"/>
    </xf>
    <xf numFmtId="166"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69" fontId="3" fillId="0" borderId="0" xfId="14" applyNumberFormat="1" applyFont="1"/>
    <xf numFmtId="10" fontId="3" fillId="0" borderId="0" xfId="14" applyNumberFormat="1" applyFont="1" applyAlignment="1">
      <alignment horizontal="center"/>
    </xf>
    <xf numFmtId="3" fontId="3" fillId="0" borderId="0" xfId="14" applyNumberFormat="1" applyFont="1"/>
    <xf numFmtId="166" fontId="3" fillId="0" borderId="0" xfId="15" applyNumberFormat="1" applyFont="1"/>
    <xf numFmtId="166"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0" fontId="3" fillId="0" borderId="0" xfId="14" applyNumberFormat="1" applyFont="1" applyAlignment="1">
      <alignment horizontal="right"/>
    </xf>
    <xf numFmtId="170" fontId="13" fillId="0" borderId="0" xfId="14" applyNumberFormat="1" applyFont="1" applyAlignment="1">
      <alignment horizontal="center"/>
    </xf>
    <xf numFmtId="166" fontId="3" fillId="0" borderId="0" xfId="14" applyNumberFormat="1" applyFont="1"/>
    <xf numFmtId="166"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6"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1"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6" fontId="3" fillId="0" borderId="4" xfId="15" applyNumberFormat="1" applyFont="1" applyBorder="1"/>
    <xf numFmtId="166" fontId="3" fillId="0" borderId="5" xfId="15" applyNumberFormat="1" applyFont="1" applyBorder="1"/>
    <xf numFmtId="166" fontId="3" fillId="0" borderId="0" xfId="15" applyNumberFormat="1" applyFont="1" applyBorder="1"/>
    <xf numFmtId="0" fontId="3" fillId="0" borderId="22" xfId="14" applyFont="1" applyBorder="1" applyAlignment="1">
      <alignment horizontal="center"/>
    </xf>
    <xf numFmtId="166" fontId="3" fillId="0" borderId="20" xfId="15" applyNumberFormat="1" applyFont="1" applyBorder="1"/>
    <xf numFmtId="166" fontId="3" fillId="0" borderId="19" xfId="15" applyNumberFormat="1" applyFont="1" applyBorder="1"/>
    <xf numFmtId="166" fontId="3" fillId="0" borderId="18" xfId="15" applyNumberFormat="1" applyFont="1" applyBorder="1"/>
    <xf numFmtId="166" fontId="3" fillId="0" borderId="16" xfId="15" applyNumberFormat="1" applyFont="1" applyBorder="1"/>
    <xf numFmtId="170" fontId="3" fillId="0" borderId="0" xfId="14" applyNumberFormat="1" applyFont="1"/>
    <xf numFmtId="43" fontId="3" fillId="0" borderId="9" xfId="15" applyFont="1" applyBorder="1" applyAlignment="1">
      <alignment horizontal="center"/>
    </xf>
    <xf numFmtId="43" fontId="3" fillId="0" borderId="11" xfId="15" applyFont="1" applyBorder="1" applyAlignment="1">
      <alignment horizontal="center"/>
    </xf>
    <xf numFmtId="166" fontId="3" fillId="0" borderId="1" xfId="15" applyNumberFormat="1" applyFont="1" applyBorder="1"/>
    <xf numFmtId="166" fontId="3" fillId="0" borderId="2" xfId="14" applyNumberFormat="1" applyFont="1" applyBorder="1"/>
    <xf numFmtId="166" fontId="3" fillId="0" borderId="3" xfId="15" applyNumberFormat="1" applyFont="1" applyBorder="1"/>
    <xf numFmtId="43" fontId="3" fillId="0" borderId="1" xfId="15" applyFont="1" applyBorder="1"/>
    <xf numFmtId="43" fontId="3" fillId="0" borderId="3" xfId="15" applyFont="1" applyBorder="1"/>
    <xf numFmtId="10" fontId="3" fillId="0" borderId="0" xfId="14" applyNumberFormat="1" applyFont="1"/>
    <xf numFmtId="43" fontId="3" fillId="0" borderId="4" xfId="15" applyFont="1" applyBorder="1"/>
    <xf numFmtId="43" fontId="3" fillId="0" borderId="5" xfId="15" applyFont="1" applyBorder="1"/>
    <xf numFmtId="166" fontId="3" fillId="0" borderId="18" xfId="14" applyNumberFormat="1" applyFont="1" applyBorder="1"/>
    <xf numFmtId="43" fontId="3" fillId="0" borderId="20" xfId="15" applyFont="1" applyBorder="1"/>
    <xf numFmtId="43" fontId="3" fillId="0" borderId="19" xfId="15" applyFont="1" applyBorder="1"/>
    <xf numFmtId="43" fontId="3" fillId="0" borderId="0" xfId="15" applyFont="1"/>
    <xf numFmtId="37" fontId="3" fillId="0" borderId="0" xfId="15" applyNumberFormat="1" applyFont="1" applyAlignment="1">
      <alignment horizontal="center"/>
    </xf>
    <xf numFmtId="166" fontId="3" fillId="0" borderId="2" xfId="15" applyNumberFormat="1" applyFont="1" applyBorder="1"/>
    <xf numFmtId="43" fontId="3" fillId="6" borderId="4" xfId="17" applyFont="1" applyFill="1" applyBorder="1" applyAlignment="1">
      <alignment horizontal="center"/>
    </xf>
    <xf numFmtId="43" fontId="3" fillId="2" borderId="4" xfId="17" applyFont="1" applyFill="1" applyBorder="1" applyAlignment="1" applyProtection="1">
      <alignment horizontal="center"/>
      <protection locked="0"/>
    </xf>
    <xf numFmtId="43" fontId="3" fillId="2" borderId="9" xfId="17" applyFont="1" applyFill="1" applyBorder="1" applyAlignment="1" applyProtection="1">
      <alignment horizontal="left"/>
      <protection locked="0"/>
    </xf>
    <xf numFmtId="43"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2"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8"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165"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165"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43" fontId="1" fillId="0" borderId="0" xfId="13" applyFont="1" applyProtection="1">
      <protection locked="0"/>
    </xf>
    <xf numFmtId="43"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5"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2"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2" fontId="33" fillId="0" borderId="0" xfId="0" applyNumberFormat="1" applyFont="1"/>
    <xf numFmtId="178"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6" fontId="13" fillId="0" borderId="0" xfId="0" quotePrefix="1" applyNumberFormat="1" applyFont="1" applyAlignment="1">
      <alignment horizontal="center"/>
    </xf>
    <xf numFmtId="177" fontId="13" fillId="0" borderId="0" xfId="0" quotePrefix="1" applyNumberFormat="1" applyFont="1" applyAlignment="1">
      <alignment horizontal="center"/>
    </xf>
    <xf numFmtId="179"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8" fontId="3" fillId="2" borderId="0" xfId="33" applyNumberFormat="1" applyFont="1" applyFill="1" applyBorder="1" applyProtection="1">
      <protection locked="0"/>
    </xf>
    <xf numFmtId="168"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0"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43"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2" fontId="3" fillId="0" borderId="0" xfId="32" applyNumberFormat="1" applyFont="1" applyFill="1" applyAlignment="1" applyProtection="1">
      <alignment horizontal="right" vertical="center" wrapText="1"/>
      <protection locked="0"/>
    </xf>
    <xf numFmtId="172"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6"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6" fontId="0" fillId="0" borderId="0" xfId="38" applyNumberFormat="1" applyFont="1"/>
    <xf numFmtId="174"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0" fontId="1" fillId="0" borderId="0" xfId="28" applyNumberFormat="1" applyProtection="1">
      <protection locked="0"/>
    </xf>
    <xf numFmtId="170"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3"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3" fontId="3" fillId="2" borderId="0" xfId="45" applyNumberFormat="1" applyFont="1" applyFill="1" applyBorder="1" applyAlignment="1" applyProtection="1">
      <alignment horizontal="right" vertical="center" wrapText="1"/>
      <protection locked="0"/>
    </xf>
    <xf numFmtId="184"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0" fontId="3" fillId="2" borderId="6" xfId="40" applyNumberFormat="1" applyFont="1" applyFill="1" applyBorder="1" applyAlignment="1" applyProtection="1">
      <alignment horizontal="right" vertical="center" wrapText="1"/>
      <protection locked="0"/>
    </xf>
    <xf numFmtId="180"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2" fontId="3" fillId="2" borderId="6" xfId="42" applyNumberFormat="1" applyFont="1" applyFill="1" applyBorder="1" applyAlignment="1" applyProtection="1">
      <alignment horizontal="right" vertical="center" wrapText="1"/>
      <protection locked="0"/>
    </xf>
    <xf numFmtId="172"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2"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0"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4" fontId="1" fillId="0" borderId="0" xfId="39" applyNumberFormat="1" applyProtection="1">
      <protection locked="0"/>
    </xf>
    <xf numFmtId="183" fontId="3" fillId="0" borderId="0" xfId="45" applyNumberFormat="1" applyFont="1" applyFill="1" applyBorder="1" applyAlignment="1" applyProtection="1">
      <alignment horizontal="right" vertical="center" wrapText="1"/>
      <protection locked="0"/>
    </xf>
    <xf numFmtId="186" fontId="1" fillId="0" borderId="0" xfId="43" applyNumberFormat="1" applyFont="1" applyProtection="1">
      <protection locked="0"/>
    </xf>
    <xf numFmtId="10" fontId="1" fillId="0" borderId="0" xfId="39" applyNumberFormat="1" applyProtection="1">
      <protection locked="0"/>
    </xf>
    <xf numFmtId="187" fontId="1" fillId="0" borderId="0" xfId="43" applyNumberFormat="1" applyFont="1" applyProtection="1">
      <protection locked="0"/>
    </xf>
    <xf numFmtId="188" fontId="1" fillId="0" borderId="0" xfId="43" applyNumberFormat="1" applyFont="1" applyProtection="1">
      <protection locked="0"/>
    </xf>
    <xf numFmtId="189" fontId="1" fillId="0" borderId="0" xfId="39" applyNumberFormat="1" applyProtection="1">
      <protection locked="0"/>
    </xf>
    <xf numFmtId="190"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5" fontId="3" fillId="0" borderId="0" xfId="45" applyNumberFormat="1" applyFont="1" applyFill="1" applyBorder="1" applyAlignment="1" applyProtection="1">
      <alignment horizontal="right" vertical="center" wrapText="1"/>
      <protection locked="0"/>
    </xf>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2"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6" xfId="1" applyFont="1" applyFill="1" applyBorder="1"/>
    <xf numFmtId="166" fontId="3" fillId="2" borderId="7" xfId="2" applyNumberFormat="1" applyFont="1" applyFill="1" applyBorder="1" applyAlignment="1" applyProtection="1">
      <alignment horizontal="center"/>
      <protection locked="0"/>
    </xf>
    <xf numFmtId="166" fontId="3" fillId="2" borderId="8" xfId="2" applyNumberFormat="1"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0" fontId="3" fillId="2" borderId="6" xfId="2"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31" applyFont="1" applyFill="1" applyBorder="1" applyAlignment="1" applyProtection="1">
      <alignment horizontal="left" vertical="top"/>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cellXfs>
  <cellStyles count="46">
    <cellStyle name="Bad" xfId="25" builtinId="27"/>
    <cellStyle name="Comma" xfId="17" builtinId="3"/>
    <cellStyle name="Comma 2" xfId="27" xr:uid="{00000000-0005-0000-0000-000002000000}"/>
    <cellStyle name="Comma 2 2 3" xfId="9" xr:uid="{00000000-0005-0000-0000-000003000000}"/>
    <cellStyle name="Comma 2 2 3 2" xfId="5" xr:uid="{00000000-0005-0000-0000-000004000000}"/>
    <cellStyle name="Comma 2 2 3 3" xfId="33" xr:uid="{17231C4B-37F0-4620-B0D1-E2B68EEE7FF4}"/>
    <cellStyle name="Comma 3" xfId="13" xr:uid="{00000000-0005-0000-0000-000005000000}"/>
    <cellStyle name="Comma 3 2 2" xfId="36" xr:uid="{ECFC3ABB-2E5F-483C-9364-163E5BD57026}"/>
    <cellStyle name="Comma 4 2" xfId="43" xr:uid="{2B6858D4-57F1-46B2-B9A3-9D7BBE2E70B9}"/>
    <cellStyle name="Comma 5" xfId="21" xr:uid="{00000000-0005-0000-0000-000006000000}"/>
    <cellStyle name="Comma 5 2" xfId="15" xr:uid="{00000000-0005-0000-0000-000007000000}"/>
    <cellStyle name="Comma 6" xfId="44" xr:uid="{2771E167-BBE0-471B-9FC5-F69053ABCB28}"/>
    <cellStyle name="Currency 2" xfId="41" xr:uid="{56D1E7FF-C1C2-43F4-9BE2-73F4276415D0}"/>
    <cellStyle name="Currency 2 2" xfId="45" xr:uid="{C4E02B15-34B2-4393-9524-00CF27351B94}"/>
    <cellStyle name="Currency 3" xfId="23" xr:uid="{00000000-0005-0000-0000-000008000000}"/>
    <cellStyle name="Explanatory Text 2 2 2" xfId="18" xr:uid="{00000000-0005-0000-0000-000009000000}"/>
    <cellStyle name="Milliers 2" xfId="38" xr:uid="{355E3C31-D561-4631-A69F-8D3DE45ACE8F}"/>
    <cellStyle name="Normal" xfId="0" builtinId="0"/>
    <cellStyle name="Normal 2 2" xfId="7" xr:uid="{00000000-0005-0000-0000-00000B000000}"/>
    <cellStyle name="Normal 2 2 2 2" xfId="10" xr:uid="{00000000-0005-0000-0000-00000C000000}"/>
    <cellStyle name="Normal 2 2 2 2 2" xfId="20" xr:uid="{00000000-0005-0000-0000-00000D000000}"/>
    <cellStyle name="Normal 2 3" xfId="8" xr:uid="{00000000-0005-0000-0000-00000E000000}"/>
    <cellStyle name="Normal 2 3 2" xfId="4" xr:uid="{00000000-0005-0000-0000-00000F000000}"/>
    <cellStyle name="Normal 2 3 3" xfId="29" xr:uid="{369B7303-66DD-44A7-A89D-E1026EAEC16B}"/>
    <cellStyle name="Normal 2 4" xfId="1" xr:uid="{00000000-0005-0000-0000-000010000000}"/>
    <cellStyle name="Normal 2 4 2" xfId="14" xr:uid="{00000000-0005-0000-0000-000011000000}"/>
    <cellStyle name="Normal 3 2" xfId="2" xr:uid="{00000000-0005-0000-0000-000012000000}"/>
    <cellStyle name="Normal 3 2 2" xfId="26" xr:uid="{00000000-0005-0000-0000-000013000000}"/>
    <cellStyle name="Normal 3 2 3" xfId="37" xr:uid="{7EECF867-F370-4EA3-9C9D-EC50C0FFDF27}"/>
    <cellStyle name="Normal 3 3" xfId="19" xr:uid="{00000000-0005-0000-0000-000014000000}"/>
    <cellStyle name="Normal 3 3 2" xfId="24" xr:uid="{00000000-0005-0000-0000-000015000000}"/>
    <cellStyle name="Normal 3 3 3" xfId="34" xr:uid="{BD1FB7E6-1C2C-492C-BB40-7D20955EAE24}"/>
    <cellStyle name="Normal 3 3 4 2" xfId="39" xr:uid="{2E4D9E7A-A83F-491E-8DF5-BB4DB529D515}"/>
    <cellStyle name="Normal 3 5" xfId="30" xr:uid="{13B69706-7401-49F4-A312-71BC8B47ABD8}"/>
    <cellStyle name="Normal 4 2 2" xfId="12" xr:uid="{00000000-0005-0000-0000-000016000000}"/>
    <cellStyle name="Normal 4 2 2 2" xfId="35" xr:uid="{B9602AF5-A8C4-4B0D-9E3D-713CE5939134}"/>
    <cellStyle name="Normal 4 2 2 2 2" xfId="40" xr:uid="{EBBCA9F3-0CBC-419A-B076-733BB22057C2}"/>
    <cellStyle name="Normal 4 2 3" xfId="31" xr:uid="{8D902778-D4ED-4F1A-96AB-0C914C28C13B}"/>
    <cellStyle name="Normal 4 4" xfId="6" xr:uid="{00000000-0005-0000-0000-000017000000}"/>
    <cellStyle name="Percent" xfId="28" builtinId="5"/>
    <cellStyle name="Percent 2" xfId="16" xr:uid="{00000000-0005-0000-0000-000018000000}"/>
    <cellStyle name="Percent 2 2 2" xfId="22" xr:uid="{00000000-0005-0000-0000-000019000000}"/>
    <cellStyle name="Percent 2 3" xfId="11" xr:uid="{00000000-0005-0000-0000-00001A000000}"/>
    <cellStyle name="Percent 3" xfId="3" xr:uid="{00000000-0005-0000-0000-00001B000000}"/>
    <cellStyle name="Percent 4" xfId="32" xr:uid="{FDD67A38-DDE3-438C-8F7D-A72FE9D7B26D}"/>
    <cellStyle name="Percent 5" xfId="42" xr:uid="{16266AD8-9480-47F9-847C-C3040C60BDEB}"/>
  </cellStyles>
  <dxfs count="93">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68"/>
  <sheetViews>
    <sheetView showGridLines="0" tabSelected="1" zoomScaleNormal="100" workbookViewId="0"/>
  </sheetViews>
  <sheetFormatPr defaultColWidth="0" defaultRowHeight="15" zeroHeight="1" x14ac:dyDescent="0.25"/>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5" ht="14.65" customHeight="1" x14ac:dyDescent="0.25">
      <c r="A1" s="190"/>
      <c r="B1" s="191" t="s">
        <v>0</v>
      </c>
      <c r="C1" s="191"/>
      <c r="D1" s="191"/>
      <c r="E1" s="191"/>
      <c r="F1" s="191"/>
      <c r="G1" s="191"/>
      <c r="H1" s="191"/>
      <c r="I1" s="191"/>
      <c r="J1" s="191"/>
      <c r="K1" s="191"/>
      <c r="L1" s="191"/>
      <c r="M1" s="192"/>
    </row>
    <row r="2" spans="1:15" ht="14.65" customHeight="1" x14ac:dyDescent="0.25">
      <c r="A2" s="190"/>
      <c r="B2" s="193"/>
      <c r="C2" s="191"/>
      <c r="D2" s="191"/>
      <c r="E2" s="191"/>
      <c r="F2" s="191"/>
      <c r="G2" s="191"/>
      <c r="H2" s="191"/>
      <c r="I2" s="191"/>
      <c r="J2" s="191"/>
      <c r="K2" s="191"/>
      <c r="L2" s="191"/>
      <c r="M2" s="192"/>
    </row>
    <row r="3" spans="1:15" ht="14.65" customHeight="1" x14ac:dyDescent="0.25">
      <c r="A3" s="190"/>
      <c r="B3" s="193"/>
      <c r="C3" s="194" t="s">
        <v>1</v>
      </c>
      <c r="D3" s="195"/>
      <c r="E3" s="195"/>
      <c r="F3" s="195"/>
      <c r="G3" s="195"/>
      <c r="H3" s="195"/>
      <c r="I3" s="195"/>
      <c r="J3" s="195"/>
      <c r="K3" s="195"/>
      <c r="L3" s="195"/>
      <c r="M3" s="192"/>
      <c r="O3" s="196"/>
    </row>
    <row r="4" spans="1:15" ht="14.65" customHeight="1" x14ac:dyDescent="0.25">
      <c r="A4" s="190"/>
      <c r="B4" s="193"/>
      <c r="C4" s="195"/>
      <c r="D4" s="195"/>
      <c r="E4" s="195"/>
      <c r="F4" s="195"/>
      <c r="G4" s="195"/>
      <c r="H4" s="195"/>
      <c r="I4" s="195"/>
      <c r="J4" s="195"/>
      <c r="K4" s="195"/>
      <c r="L4" s="195"/>
      <c r="M4" s="192"/>
    </row>
    <row r="5" spans="1:15" ht="14.65" customHeight="1" x14ac:dyDescent="0.25">
      <c r="A5" s="190"/>
      <c r="B5" s="193"/>
      <c r="C5" s="119" t="s">
        <v>2</v>
      </c>
      <c r="D5" s="197"/>
      <c r="E5" s="197"/>
      <c r="F5" s="197"/>
      <c r="G5" s="197"/>
      <c r="H5" s="197"/>
      <c r="I5" s="198"/>
      <c r="J5" s="195"/>
      <c r="K5" s="195"/>
      <c r="L5" s="195"/>
      <c r="M5" s="192"/>
    </row>
    <row r="6" spans="1:15" ht="14.65" customHeight="1" x14ac:dyDescent="0.25">
      <c r="A6" s="190"/>
      <c r="B6" s="193"/>
      <c r="C6" s="119" t="s">
        <v>3</v>
      </c>
      <c r="D6" s="197"/>
      <c r="E6" s="197"/>
      <c r="F6" s="197"/>
      <c r="G6" s="197"/>
      <c r="H6" s="197"/>
      <c r="I6" s="198"/>
      <c r="J6" s="199"/>
      <c r="K6" s="199"/>
      <c r="L6" s="199"/>
      <c r="M6" s="192"/>
    </row>
    <row r="7" spans="1:15" ht="14.65" customHeight="1" x14ac:dyDescent="0.25">
      <c r="A7" s="190"/>
      <c r="B7" s="193"/>
      <c r="C7" s="119" t="s">
        <v>4</v>
      </c>
      <c r="D7" s="197"/>
      <c r="E7" s="197"/>
      <c r="F7" s="197"/>
      <c r="G7" s="197"/>
      <c r="H7" s="197"/>
      <c r="I7" s="198"/>
      <c r="J7" s="199"/>
      <c r="K7" s="199"/>
      <c r="L7" s="199"/>
      <c r="M7" s="192"/>
    </row>
    <row r="8" spans="1:15" ht="14.65" customHeight="1" x14ac:dyDescent="0.25">
      <c r="A8" s="190"/>
      <c r="B8" s="193"/>
      <c r="C8" s="119"/>
      <c r="D8" s="197"/>
      <c r="E8" s="197"/>
      <c r="F8" s="197"/>
      <c r="G8" s="197"/>
      <c r="H8" s="197"/>
      <c r="I8" s="198"/>
      <c r="J8" s="199"/>
      <c r="K8" s="199"/>
      <c r="L8" s="199"/>
      <c r="M8" s="192"/>
    </row>
    <row r="9" spans="1:15" ht="14.65" customHeight="1" x14ac:dyDescent="0.25">
      <c r="A9" s="190"/>
      <c r="B9" s="193"/>
      <c r="C9" s="119" t="s">
        <v>5</v>
      </c>
      <c r="D9" s="197"/>
      <c r="E9" s="197"/>
      <c r="F9" s="197"/>
      <c r="G9" s="197"/>
      <c r="H9" s="197"/>
      <c r="I9" s="198"/>
      <c r="J9" s="199"/>
      <c r="K9" s="199"/>
      <c r="L9" s="199"/>
      <c r="M9" s="192"/>
    </row>
    <row r="10" spans="1:15" ht="14.65" customHeight="1" x14ac:dyDescent="0.25">
      <c r="A10" s="190"/>
      <c r="B10" s="193"/>
      <c r="C10" s="197"/>
      <c r="D10" s="197"/>
      <c r="E10" s="197"/>
      <c r="F10" s="197"/>
      <c r="G10" s="197"/>
      <c r="H10" s="197"/>
      <c r="I10" s="200"/>
      <c r="J10" s="191"/>
      <c r="K10" s="191"/>
      <c r="L10" s="191"/>
      <c r="M10" s="192"/>
    </row>
    <row r="11" spans="1:15" ht="14.65" customHeight="1" x14ac:dyDescent="0.25">
      <c r="A11" s="190"/>
      <c r="B11" s="193"/>
      <c r="C11" s="197"/>
      <c r="D11" s="197"/>
      <c r="E11" s="692" t="s">
        <v>6</v>
      </c>
      <c r="F11" s="693"/>
      <c r="G11" s="694"/>
      <c r="H11" s="197"/>
      <c r="I11" s="200"/>
      <c r="J11" s="191"/>
      <c r="K11" s="191"/>
      <c r="L11" s="191"/>
      <c r="M11" s="192"/>
    </row>
    <row r="12" spans="1:15" ht="14.65" customHeight="1" x14ac:dyDescent="0.25">
      <c r="A12" s="190"/>
      <c r="B12" s="193"/>
      <c r="C12" s="695" t="s">
        <v>7</v>
      </c>
      <c r="D12" s="695"/>
      <c r="E12" s="201">
        <v>2024</v>
      </c>
      <c r="F12" s="201">
        <v>2025</v>
      </c>
      <c r="G12" s="201">
        <v>2026</v>
      </c>
      <c r="H12" s="191"/>
      <c r="I12" s="191"/>
      <c r="J12" s="191"/>
      <c r="K12" s="191"/>
      <c r="L12" s="191"/>
      <c r="M12" s="192"/>
    </row>
    <row r="13" spans="1:15" ht="14.65" customHeight="1" x14ac:dyDescent="0.25">
      <c r="A13" s="190"/>
      <c r="B13" s="193"/>
      <c r="C13" s="695">
        <v>2022</v>
      </c>
      <c r="D13" s="695"/>
      <c r="E13" s="201">
        <v>100</v>
      </c>
      <c r="F13" s="201"/>
      <c r="G13" s="201"/>
      <c r="H13" s="191"/>
      <c r="I13" s="191"/>
      <c r="J13" s="191"/>
      <c r="K13" s="191"/>
      <c r="L13" s="191"/>
      <c r="M13" s="192"/>
    </row>
    <row r="14" spans="1:15" ht="14.65" customHeight="1" x14ac:dyDescent="0.25">
      <c r="A14" s="190"/>
      <c r="B14" s="193"/>
      <c r="C14" s="695">
        <v>2023</v>
      </c>
      <c r="D14" s="695"/>
      <c r="E14" s="201">
        <v>105</v>
      </c>
      <c r="F14" s="201">
        <v>90</v>
      </c>
      <c r="G14" s="201"/>
      <c r="H14" s="191"/>
      <c r="I14" s="191"/>
      <c r="J14" s="191"/>
      <c r="K14" s="191"/>
      <c r="L14" s="191"/>
      <c r="M14" s="192"/>
    </row>
    <row r="15" spans="1:15" ht="14.65" customHeight="1" x14ac:dyDescent="0.25">
      <c r="A15" s="190"/>
      <c r="B15" s="193"/>
      <c r="C15" s="191"/>
      <c r="D15" s="191"/>
      <c r="E15" s="191"/>
      <c r="F15" s="191"/>
      <c r="G15" s="191"/>
      <c r="H15" s="191"/>
      <c r="I15" s="191"/>
      <c r="J15" s="191"/>
      <c r="K15" s="191"/>
      <c r="L15" s="191"/>
      <c r="M15" s="192"/>
    </row>
    <row r="16" spans="1:15" ht="14.65" customHeight="1" x14ac:dyDescent="0.25">
      <c r="A16" s="190"/>
      <c r="B16" s="193"/>
      <c r="C16" s="202"/>
      <c r="D16" s="203"/>
      <c r="E16" s="199"/>
      <c r="F16" s="199"/>
      <c r="G16" s="199"/>
      <c r="H16" s="191"/>
      <c r="I16" s="191"/>
      <c r="J16" s="191"/>
      <c r="K16" s="191"/>
      <c r="L16" s="191"/>
      <c r="M16" s="192"/>
    </row>
    <row r="17" spans="1:15" ht="14.65" customHeight="1" x14ac:dyDescent="0.25">
      <c r="A17" s="190"/>
      <c r="B17" s="193"/>
      <c r="C17" s="197"/>
      <c r="D17" s="197"/>
      <c r="E17" s="692" t="s">
        <v>8</v>
      </c>
      <c r="F17" s="693"/>
      <c r="G17" s="694"/>
      <c r="H17" s="191"/>
      <c r="I17" s="191"/>
      <c r="J17" s="191"/>
      <c r="K17" s="191"/>
      <c r="L17" s="191"/>
      <c r="M17" s="192"/>
    </row>
    <row r="18" spans="1:15" ht="14.65" customHeight="1" x14ac:dyDescent="0.25">
      <c r="A18" s="190"/>
      <c r="B18" s="193"/>
      <c r="C18" s="197"/>
      <c r="D18" s="197"/>
      <c r="E18" s="201">
        <v>0.5</v>
      </c>
      <c r="F18" s="201">
        <v>1.5</v>
      </c>
      <c r="G18" s="201">
        <v>2.5</v>
      </c>
      <c r="H18" s="191"/>
      <c r="I18" s="191"/>
      <c r="J18" s="191"/>
      <c r="K18" s="191"/>
      <c r="L18" s="191"/>
      <c r="M18" s="192"/>
    </row>
    <row r="19" spans="1:15" ht="28.5" customHeight="1" x14ac:dyDescent="0.25">
      <c r="A19" s="190"/>
      <c r="B19" s="193"/>
      <c r="C19" s="691" t="s">
        <v>9</v>
      </c>
      <c r="D19" s="691"/>
      <c r="E19" s="204">
        <v>0.01</v>
      </c>
      <c r="F19" s="204">
        <v>1.4999999999999999E-2</v>
      </c>
      <c r="G19" s="204">
        <v>0.02</v>
      </c>
      <c r="H19" s="191"/>
      <c r="I19" s="191"/>
      <c r="J19" s="191"/>
      <c r="K19" s="191"/>
      <c r="L19" s="191"/>
      <c r="M19" s="192"/>
    </row>
    <row r="20" spans="1:15" ht="14.65" customHeight="1" x14ac:dyDescent="0.25">
      <c r="A20" s="190"/>
      <c r="B20" s="193"/>
      <c r="C20" s="195" t="s">
        <v>10</v>
      </c>
      <c r="D20" s="191"/>
      <c r="E20" s="191"/>
      <c r="F20" s="191"/>
      <c r="G20" s="191"/>
      <c r="H20" s="191"/>
      <c r="I20" s="191"/>
      <c r="J20" s="191"/>
      <c r="K20" s="191"/>
      <c r="L20" s="191"/>
      <c r="M20" s="192"/>
    </row>
    <row r="21" spans="1:15" ht="14.65" customHeight="1" x14ac:dyDescent="0.25">
      <c r="A21" s="190"/>
      <c r="B21" s="193"/>
      <c r="C21" s="191"/>
      <c r="D21" s="191"/>
      <c r="E21" s="191"/>
      <c r="F21" s="191"/>
      <c r="G21" s="191"/>
      <c r="H21" s="191"/>
      <c r="I21" s="191"/>
      <c r="J21" s="191"/>
      <c r="K21" s="191"/>
      <c r="L21" s="191"/>
      <c r="M21" s="192"/>
    </row>
    <row r="22" spans="1:15" ht="14.65" customHeight="1" x14ac:dyDescent="0.25">
      <c r="A22" s="205"/>
      <c r="B22" s="191"/>
      <c r="C22" s="191" t="s">
        <v>11</v>
      </c>
      <c r="D22" s="191"/>
      <c r="E22" s="191"/>
      <c r="F22" s="191"/>
      <c r="G22" s="191"/>
      <c r="H22" s="191"/>
      <c r="I22" s="191"/>
      <c r="J22" s="191"/>
      <c r="K22" s="191"/>
      <c r="L22" s="191"/>
      <c r="M22" s="192"/>
    </row>
    <row r="23" spans="1:15" ht="14.65" customHeight="1" thickBot="1" x14ac:dyDescent="0.3">
      <c r="A23" s="206"/>
      <c r="B23" s="207"/>
      <c r="C23" s="208"/>
      <c r="D23" s="209"/>
      <c r="E23" s="209"/>
      <c r="F23" s="209"/>
      <c r="G23" s="209"/>
      <c r="H23" s="209"/>
      <c r="I23" s="209"/>
      <c r="J23" s="209"/>
      <c r="K23" s="209"/>
      <c r="L23" s="209"/>
      <c r="M23" s="210"/>
    </row>
    <row r="24" spans="1:15" ht="14.65" customHeight="1" thickBot="1" x14ac:dyDescent="0.3">
      <c r="A24" s="211" t="s">
        <v>12</v>
      </c>
      <c r="B24" s="212"/>
      <c r="C24" s="213"/>
      <c r="D24" s="214"/>
      <c r="E24" s="214"/>
      <c r="F24" s="214"/>
      <c r="G24" s="214"/>
      <c r="H24" s="214"/>
      <c r="I24" s="214"/>
      <c r="J24" s="214"/>
      <c r="K24" s="214"/>
      <c r="L24" s="214"/>
      <c r="M24" s="215"/>
      <c r="O24" s="196"/>
    </row>
    <row r="25" spans="1:15" ht="14.65" customHeight="1" x14ac:dyDescent="0.25">
      <c r="A25" s="216"/>
      <c r="B25" s="216"/>
      <c r="C25" s="217"/>
      <c r="D25" s="218"/>
      <c r="E25" s="218"/>
      <c r="F25" s="218"/>
      <c r="G25" s="218"/>
      <c r="H25" s="218"/>
      <c r="I25" s="218"/>
      <c r="J25" s="218"/>
      <c r="K25" s="218"/>
      <c r="L25" s="218"/>
      <c r="M25" s="219"/>
    </row>
    <row r="26" spans="1:15" ht="14.65" customHeight="1" x14ac:dyDescent="0.25">
      <c r="A26" s="216"/>
      <c r="B26" s="216"/>
      <c r="C26" s="217" t="s">
        <v>13</v>
      </c>
      <c r="D26" s="220"/>
      <c r="E26" s="220"/>
      <c r="F26" s="220"/>
      <c r="G26" s="218"/>
      <c r="H26" s="218"/>
      <c r="I26" s="218"/>
      <c r="J26" s="218"/>
      <c r="K26" s="218"/>
      <c r="L26" s="218"/>
      <c r="M26" s="219"/>
    </row>
    <row r="27" spans="1:15" ht="14.65" customHeight="1" x14ac:dyDescent="0.25">
      <c r="A27" s="216"/>
      <c r="B27" s="216"/>
      <c r="C27" s="217" t="s">
        <v>14</v>
      </c>
      <c r="D27" s="218">
        <f>SUM(E13:E14)</f>
        <v>205</v>
      </c>
      <c r="E27" s="218">
        <f>SUM(F13:F14)</f>
        <v>90</v>
      </c>
      <c r="F27" s="218">
        <f>SUM(G13:G14)</f>
        <v>0</v>
      </c>
      <c r="G27" s="218" t="s">
        <v>15</v>
      </c>
      <c r="H27" s="218"/>
      <c r="I27" s="218"/>
      <c r="J27" s="218"/>
      <c r="K27" s="218"/>
      <c r="L27" s="218"/>
      <c r="M27" s="219"/>
    </row>
    <row r="28" spans="1:15" ht="14.65" customHeight="1" x14ac:dyDescent="0.25">
      <c r="A28" s="216">
        <v>0.25</v>
      </c>
      <c r="B28" s="216"/>
      <c r="C28" s="217" t="s">
        <v>16</v>
      </c>
      <c r="D28" s="218"/>
      <c r="E28" s="221">
        <f>(E13+E14)*(1+E19)^-0.5 + F14*(1+F19)^-1.5</f>
        <v>291.99493932051945</v>
      </c>
      <c r="F28" s="222" t="s">
        <v>17</v>
      </c>
      <c r="G28" s="218"/>
      <c r="H28" s="223"/>
      <c r="I28" s="218"/>
      <c r="J28" s="218"/>
      <c r="K28" s="224"/>
      <c r="L28" s="218"/>
      <c r="M28" s="219"/>
    </row>
    <row r="29" spans="1:15" ht="14.65" customHeight="1" x14ac:dyDescent="0.25">
      <c r="A29" s="216">
        <v>0.25</v>
      </c>
      <c r="B29" s="216"/>
      <c r="C29" s="217" t="s">
        <v>18</v>
      </c>
      <c r="D29" s="218"/>
      <c r="E29" s="225">
        <f>E28*5%</f>
        <v>14.599746966025974</v>
      </c>
      <c r="F29" s="226" t="s">
        <v>19</v>
      </c>
      <c r="G29" s="218"/>
      <c r="H29" s="218"/>
      <c r="I29" s="218"/>
      <c r="J29" s="218"/>
      <c r="K29" s="218"/>
      <c r="L29" s="218"/>
      <c r="M29" s="219"/>
    </row>
    <row r="30" spans="1:15" ht="14.65" customHeight="1" x14ac:dyDescent="0.25">
      <c r="A30" s="216">
        <v>0.25</v>
      </c>
      <c r="B30" s="216"/>
      <c r="C30" s="57" t="s">
        <v>20</v>
      </c>
      <c r="E30" s="227">
        <f>E28+E29</f>
        <v>306.59468628654542</v>
      </c>
      <c r="F30" s="57" t="s">
        <v>21</v>
      </c>
    </row>
    <row r="31" spans="1:15" ht="14.65" customHeight="1" x14ac:dyDescent="0.25">
      <c r="E31" s="228"/>
    </row>
    <row r="32" spans="1:15" ht="14.65" customHeight="1" x14ac:dyDescent="0.25">
      <c r="F32" s="229"/>
    </row>
    <row r="33" spans="3:6" ht="14.65" customHeight="1" x14ac:dyDescent="0.25"/>
    <row r="34" spans="3:6" ht="14.65" customHeight="1" x14ac:dyDescent="0.25"/>
    <row r="35" spans="3:6" ht="14.65" customHeight="1" x14ac:dyDescent="0.25">
      <c r="F35" s="230"/>
    </row>
    <row r="36" spans="3:6" ht="14.65" customHeight="1" x14ac:dyDescent="0.25">
      <c r="F36" s="149"/>
    </row>
    <row r="37" spans="3:6" ht="14.65" customHeight="1" x14ac:dyDescent="0.25">
      <c r="C37" s="231"/>
      <c r="D37" s="231"/>
      <c r="E37" s="231"/>
      <c r="F37" s="232"/>
    </row>
    <row r="38" spans="3:6" ht="14.65" customHeight="1" x14ac:dyDescent="0.25">
      <c r="C38" s="231"/>
      <c r="D38" s="231"/>
      <c r="E38" s="231"/>
      <c r="F38" s="228"/>
    </row>
    <row r="39" spans="3:6" ht="14.65" customHeight="1" x14ac:dyDescent="0.25"/>
    <row r="40" spans="3:6" ht="14.65" customHeight="1" x14ac:dyDescent="0.25"/>
    <row r="41" spans="3:6" ht="14.65" customHeight="1" x14ac:dyDescent="0.25"/>
    <row r="42" spans="3:6" ht="14.65" customHeight="1" x14ac:dyDescent="0.25"/>
    <row r="43" spans="3:6" ht="14.65" customHeight="1" x14ac:dyDescent="0.25"/>
    <row r="44" spans="3:6" ht="14.65" customHeight="1" x14ac:dyDescent="0.25"/>
    <row r="45" spans="3:6" ht="14.65" customHeight="1" x14ac:dyDescent="0.25"/>
    <row r="46" spans="3:6" ht="14.65" customHeight="1" x14ac:dyDescent="0.25"/>
    <row r="47" spans="3:6" ht="14.65" customHeight="1" x14ac:dyDescent="0.25"/>
    <row r="48" spans="3:6"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row r="199" ht="14.65" customHeight="1" x14ac:dyDescent="0.25"/>
    <row r="200" ht="14.65" customHeight="1" x14ac:dyDescent="0.25"/>
    <row r="201" ht="14.65" customHeight="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sheetData>
  <mergeCells count="6">
    <mergeCell ref="C19:D19"/>
    <mergeCell ref="E11:G11"/>
    <mergeCell ref="C12:D12"/>
    <mergeCell ref="C13:D13"/>
    <mergeCell ref="C14:D14"/>
    <mergeCell ref="E17:G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271"/>
  <sheetViews>
    <sheetView showGridLines="0" zoomScaleNormal="100" workbookViewId="0"/>
  </sheetViews>
  <sheetFormatPr defaultColWidth="0" defaultRowHeight="15" zeroHeight="1" x14ac:dyDescent="0.25"/>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8" ht="14.65" customHeight="1" x14ac:dyDescent="0.25">
      <c r="A1" s="233"/>
      <c r="B1" s="191" t="s">
        <v>22</v>
      </c>
      <c r="C1" s="191"/>
      <c r="D1" s="191"/>
      <c r="E1" s="191"/>
      <c r="F1" s="191"/>
      <c r="G1" s="191"/>
      <c r="H1" s="191"/>
      <c r="I1" s="191"/>
      <c r="J1" s="191"/>
      <c r="K1" s="191"/>
      <c r="L1" s="191"/>
      <c r="M1" s="192"/>
      <c r="N1" s="234"/>
      <c r="O1" s="234"/>
      <c r="P1" s="234"/>
      <c r="Q1" s="234"/>
      <c r="R1" s="234"/>
    </row>
    <row r="2" spans="1:18" ht="14.65" customHeight="1" x14ac:dyDescent="0.25">
      <c r="A2" s="233"/>
      <c r="B2" s="235"/>
      <c r="C2" s="191"/>
      <c r="D2" s="191"/>
      <c r="E2" s="191"/>
      <c r="F2" s="191"/>
      <c r="G2" s="191"/>
      <c r="H2" s="191"/>
      <c r="I2" s="191"/>
      <c r="J2" s="191"/>
      <c r="K2" s="191"/>
      <c r="L2" s="191"/>
      <c r="M2" s="192"/>
      <c r="N2" s="234"/>
      <c r="O2" s="234"/>
      <c r="P2" s="234"/>
      <c r="Q2" s="234"/>
      <c r="R2" s="234"/>
    </row>
    <row r="3" spans="1:18" ht="14.65" customHeight="1" x14ac:dyDescent="0.25">
      <c r="A3" s="233"/>
      <c r="B3" s="235"/>
      <c r="C3" s="119" t="s">
        <v>23</v>
      </c>
      <c r="D3" s="195"/>
      <c r="E3" s="195"/>
      <c r="F3" s="195"/>
      <c r="G3" s="195"/>
      <c r="H3" s="195"/>
      <c r="I3" s="195"/>
      <c r="J3" s="195"/>
      <c r="K3" s="195"/>
      <c r="L3" s="195"/>
      <c r="M3" s="192"/>
      <c r="N3" s="234"/>
      <c r="O3" s="234"/>
      <c r="P3" s="234"/>
      <c r="Q3" s="234"/>
      <c r="R3" s="234"/>
    </row>
    <row r="4" spans="1:18" ht="14.65" customHeight="1" x14ac:dyDescent="0.25">
      <c r="A4" s="233"/>
      <c r="B4" s="235"/>
      <c r="C4" s="195" t="s">
        <v>24</v>
      </c>
      <c r="D4" s="195"/>
      <c r="E4" s="195"/>
      <c r="F4" s="195"/>
      <c r="G4" s="195"/>
      <c r="H4" s="195"/>
      <c r="I4" s="195"/>
      <c r="J4" s="195"/>
      <c r="K4" s="195"/>
      <c r="L4" s="195"/>
      <c r="M4" s="192"/>
      <c r="N4" s="234"/>
      <c r="O4" s="234"/>
      <c r="P4" s="234"/>
      <c r="Q4" s="234"/>
      <c r="R4" s="234"/>
    </row>
    <row r="5" spans="1:18" ht="14.65" customHeight="1" x14ac:dyDescent="0.25">
      <c r="A5" s="233"/>
      <c r="B5" s="235"/>
      <c r="C5" s="195"/>
      <c r="D5" s="195"/>
      <c r="E5" s="195"/>
      <c r="F5" s="195"/>
      <c r="G5" s="195"/>
      <c r="H5" s="195"/>
      <c r="I5" s="195"/>
      <c r="J5" s="195"/>
      <c r="K5" s="195"/>
      <c r="L5" s="195"/>
      <c r="M5" s="192"/>
      <c r="N5" s="234"/>
      <c r="O5" s="234"/>
      <c r="P5" s="234"/>
      <c r="Q5" s="234"/>
      <c r="R5" s="234"/>
    </row>
    <row r="6" spans="1:18" ht="14.65" customHeight="1" x14ac:dyDescent="0.25">
      <c r="A6" s="236" t="s">
        <v>13</v>
      </c>
      <c r="B6" s="191" t="s">
        <v>25</v>
      </c>
      <c r="C6" s="191" t="s">
        <v>26</v>
      </c>
      <c r="D6" s="191"/>
      <c r="E6" s="191"/>
      <c r="F6" s="191"/>
      <c r="G6" s="191"/>
      <c r="H6" s="191"/>
      <c r="I6" s="191"/>
      <c r="J6" s="191"/>
      <c r="K6" s="191"/>
      <c r="L6" s="191"/>
      <c r="M6" s="192"/>
      <c r="N6" s="234"/>
      <c r="O6" s="234"/>
      <c r="P6" s="234"/>
      <c r="Q6" s="234"/>
      <c r="R6" s="234"/>
    </row>
    <row r="7" spans="1:18" ht="14.65" customHeight="1" x14ac:dyDescent="0.25">
      <c r="A7" s="236"/>
      <c r="B7" s="237"/>
      <c r="C7" s="191"/>
      <c r="D7" s="191"/>
      <c r="E7" s="191"/>
      <c r="F7" s="191"/>
      <c r="G7" s="191"/>
      <c r="H7" s="191"/>
      <c r="I7" s="191"/>
      <c r="J7" s="191"/>
      <c r="K7" s="191"/>
      <c r="L7" s="191"/>
      <c r="M7" s="192"/>
      <c r="N7" s="234"/>
      <c r="O7" s="234"/>
      <c r="P7" s="234"/>
      <c r="Q7" s="234"/>
      <c r="R7" s="234"/>
    </row>
    <row r="8" spans="1:18" ht="14.65" customHeight="1" x14ac:dyDescent="0.25">
      <c r="A8" s="236" t="s">
        <v>27</v>
      </c>
      <c r="B8" s="191" t="s">
        <v>28</v>
      </c>
      <c r="C8" s="191" t="s">
        <v>29</v>
      </c>
      <c r="D8" s="191"/>
      <c r="E8" s="191"/>
      <c r="F8" s="191"/>
      <c r="G8" s="191"/>
      <c r="H8" s="191"/>
      <c r="I8" s="191"/>
      <c r="J8" s="191"/>
      <c r="K8" s="191"/>
      <c r="L8" s="191"/>
      <c r="M8" s="192"/>
      <c r="N8" s="234"/>
      <c r="O8" s="234"/>
      <c r="P8" s="234"/>
      <c r="Q8" s="234"/>
      <c r="R8" s="234"/>
    </row>
    <row r="9" spans="1:18" ht="14.65" customHeight="1" x14ac:dyDescent="0.25">
      <c r="A9" s="236"/>
      <c r="B9" s="191"/>
      <c r="C9" s="191" t="s">
        <v>30</v>
      </c>
      <c r="D9" s="191"/>
      <c r="E9" s="191"/>
      <c r="F9" s="191"/>
      <c r="G9" s="191"/>
      <c r="H9" s="191"/>
      <c r="I9" s="191"/>
      <c r="J9" s="191"/>
      <c r="K9" s="191"/>
      <c r="L9" s="191"/>
      <c r="M9" s="192"/>
      <c r="N9" s="234"/>
      <c r="O9" s="234"/>
      <c r="P9" s="234"/>
      <c r="Q9" s="234"/>
      <c r="R9" s="234"/>
    </row>
    <row r="10" spans="1:18" ht="14.65" customHeight="1" thickBot="1" x14ac:dyDescent="0.3">
      <c r="A10" s="236"/>
      <c r="B10" s="191"/>
      <c r="C10" s="191"/>
      <c r="D10" s="191"/>
      <c r="E10" s="191"/>
      <c r="F10" s="191"/>
      <c r="G10" s="191"/>
      <c r="H10" s="191"/>
      <c r="I10" s="191"/>
      <c r="J10" s="191"/>
      <c r="K10" s="191"/>
      <c r="L10" s="191"/>
      <c r="M10" s="192"/>
      <c r="N10" s="234"/>
      <c r="O10" s="234"/>
      <c r="P10" s="234"/>
      <c r="Q10" s="234"/>
      <c r="R10" s="234"/>
    </row>
    <row r="11" spans="1:18" ht="14.65" customHeight="1" thickBot="1" x14ac:dyDescent="0.3">
      <c r="A11" s="238" t="s">
        <v>12</v>
      </c>
      <c r="B11" s="239"/>
      <c r="C11" s="145"/>
      <c r="D11" s="146"/>
      <c r="E11" s="146"/>
      <c r="F11" s="146"/>
      <c r="G11" s="146"/>
      <c r="H11" s="146"/>
      <c r="I11" s="146"/>
      <c r="J11" s="146"/>
      <c r="K11" s="146"/>
      <c r="L11" s="146"/>
      <c r="M11" s="147"/>
      <c r="N11" s="234"/>
      <c r="O11" s="234"/>
      <c r="P11" s="234"/>
      <c r="Q11" s="234"/>
      <c r="R11" s="234"/>
    </row>
    <row r="12" spans="1:18" ht="14.65" customHeight="1" x14ac:dyDescent="0.25">
      <c r="A12" s="216"/>
      <c r="B12" s="216"/>
      <c r="C12" s="217"/>
      <c r="D12" s="218"/>
      <c r="E12" s="218"/>
      <c r="F12" s="218"/>
      <c r="G12" s="218"/>
      <c r="H12" s="218"/>
      <c r="I12" s="218"/>
      <c r="J12" s="218"/>
      <c r="K12" s="218"/>
      <c r="L12" s="218"/>
      <c r="M12" s="218"/>
      <c r="N12" s="234"/>
      <c r="O12" s="234"/>
      <c r="P12" s="234"/>
      <c r="Q12" s="234"/>
      <c r="R12" s="234"/>
    </row>
    <row r="13" spans="1:18" ht="14.65" customHeight="1" x14ac:dyDescent="0.25">
      <c r="A13" s="216"/>
      <c r="B13" s="234" t="s">
        <v>31</v>
      </c>
      <c r="C13" s="234"/>
      <c r="D13" s="234"/>
      <c r="E13" s="234"/>
      <c r="F13" s="234"/>
      <c r="G13" s="234"/>
      <c r="H13" s="234"/>
      <c r="I13" s="234"/>
      <c r="J13" s="234"/>
      <c r="K13" s="234"/>
      <c r="L13" s="234"/>
      <c r="M13" s="218"/>
      <c r="N13" s="234"/>
      <c r="O13" s="234"/>
      <c r="P13" s="234"/>
      <c r="Q13" s="234"/>
      <c r="R13" s="234"/>
    </row>
    <row r="14" spans="1:18" ht="14.65" customHeight="1" x14ac:dyDescent="0.25">
      <c r="A14" s="216"/>
      <c r="B14" s="234" t="s">
        <v>32</v>
      </c>
      <c r="C14" s="234"/>
      <c r="D14" s="234"/>
      <c r="E14" s="234"/>
      <c r="F14" s="234"/>
      <c r="G14" s="234"/>
      <c r="H14" s="234"/>
      <c r="I14" s="234"/>
      <c r="J14" s="234"/>
      <c r="K14" s="234"/>
      <c r="L14" s="234"/>
      <c r="M14" s="218"/>
      <c r="N14" s="234"/>
      <c r="O14" s="234"/>
      <c r="P14" s="234"/>
      <c r="Q14" s="234"/>
      <c r="R14" s="234"/>
    </row>
    <row r="15" spans="1:18" ht="14.65" customHeight="1" x14ac:dyDescent="0.25">
      <c r="A15" s="216"/>
      <c r="B15" s="234" t="s">
        <v>33</v>
      </c>
      <c r="C15" s="234"/>
      <c r="D15" s="234"/>
      <c r="E15" s="234"/>
      <c r="F15" s="234"/>
      <c r="G15" s="234"/>
      <c r="H15" s="234"/>
      <c r="I15" s="234"/>
      <c r="J15" s="234"/>
      <c r="K15" s="234"/>
      <c r="L15" s="234"/>
      <c r="M15" s="218"/>
      <c r="N15" s="234"/>
      <c r="O15" s="234"/>
      <c r="P15" s="234"/>
      <c r="Q15" s="234"/>
      <c r="R15" s="234"/>
    </row>
    <row r="16" spans="1:18" ht="14.65" customHeight="1" x14ac:dyDescent="0.25">
      <c r="A16" s="216"/>
      <c r="B16" s="234"/>
      <c r="C16" s="234"/>
      <c r="D16" s="234"/>
      <c r="E16" s="234"/>
      <c r="F16" s="234"/>
      <c r="G16" s="234"/>
      <c r="H16" s="234"/>
      <c r="I16" s="234"/>
      <c r="J16" s="234"/>
      <c r="K16" s="234"/>
      <c r="L16" s="234"/>
      <c r="M16" s="218"/>
      <c r="N16" s="234"/>
      <c r="O16" s="234"/>
      <c r="P16" s="234"/>
      <c r="Q16" s="234"/>
      <c r="R16" s="234"/>
    </row>
    <row r="17" spans="1:18" ht="14.65" customHeight="1" x14ac:dyDescent="0.25">
      <c r="A17" s="216"/>
      <c r="B17" s="234" t="s">
        <v>34</v>
      </c>
      <c r="C17" s="234"/>
      <c r="D17" s="234"/>
      <c r="E17" s="234"/>
      <c r="F17" s="234"/>
      <c r="G17" s="234"/>
      <c r="H17" s="234"/>
      <c r="I17" s="234"/>
      <c r="J17" s="234"/>
      <c r="K17" s="234"/>
      <c r="L17" s="234"/>
      <c r="M17" s="234"/>
      <c r="N17" s="234"/>
      <c r="O17" s="234"/>
      <c r="P17" s="234"/>
      <c r="Q17" s="234"/>
      <c r="R17" s="234"/>
    </row>
    <row r="18" spans="1:18" ht="14.65" customHeight="1" x14ac:dyDescent="0.25">
      <c r="A18" s="234"/>
      <c r="B18" s="234" t="s">
        <v>35</v>
      </c>
      <c r="C18" s="234"/>
      <c r="D18" s="234"/>
      <c r="E18" s="234"/>
      <c r="F18" s="234"/>
      <c r="G18" s="234"/>
      <c r="H18" s="234"/>
      <c r="I18" s="234"/>
      <c r="J18" s="234"/>
      <c r="K18" s="234"/>
      <c r="L18" s="234"/>
      <c r="M18" s="234"/>
      <c r="N18" s="234"/>
      <c r="O18" s="234"/>
      <c r="P18" s="234"/>
      <c r="Q18" s="234"/>
      <c r="R18" s="234"/>
    </row>
    <row r="19" spans="1:18" ht="14.65" customHeight="1" x14ac:dyDescent="0.25">
      <c r="A19" s="234"/>
      <c r="B19" s="234" t="s">
        <v>36</v>
      </c>
      <c r="C19" s="234"/>
      <c r="D19" s="234"/>
      <c r="E19" s="234"/>
      <c r="F19" s="234"/>
      <c r="G19" s="234"/>
      <c r="H19" s="234"/>
      <c r="I19" s="234"/>
      <c r="J19" s="234"/>
      <c r="K19" s="234"/>
      <c r="L19" s="234"/>
      <c r="M19" s="234"/>
      <c r="N19" s="234"/>
      <c r="O19" s="234"/>
      <c r="P19" s="234"/>
      <c r="Q19" s="234"/>
      <c r="R19" s="234"/>
    </row>
    <row r="20" spans="1:18" ht="14.65" customHeight="1" x14ac:dyDescent="0.25">
      <c r="A20" s="234"/>
      <c r="B20" s="234" t="s">
        <v>37</v>
      </c>
      <c r="C20" s="234"/>
      <c r="D20" s="234"/>
      <c r="E20" s="234"/>
      <c r="F20" s="234"/>
      <c r="G20" s="234"/>
      <c r="H20" s="234"/>
      <c r="I20" s="234"/>
      <c r="J20" s="234"/>
      <c r="K20" s="234"/>
      <c r="L20" s="234"/>
      <c r="M20" s="234"/>
      <c r="N20" s="234"/>
      <c r="O20" s="234"/>
      <c r="P20" s="234"/>
      <c r="Q20" s="234"/>
      <c r="R20" s="234"/>
    </row>
    <row r="21" spans="1:18" ht="14.65" customHeight="1" x14ac:dyDescent="0.25">
      <c r="A21" s="234"/>
      <c r="B21" s="234"/>
      <c r="C21" s="234"/>
      <c r="D21" s="234"/>
      <c r="E21" s="234"/>
      <c r="F21" s="234"/>
      <c r="G21" s="234"/>
      <c r="H21" s="234"/>
      <c r="I21" s="234"/>
      <c r="J21" s="234"/>
      <c r="K21" s="234"/>
      <c r="L21" s="234"/>
      <c r="M21" s="234"/>
      <c r="N21" s="234"/>
      <c r="O21" s="234"/>
      <c r="P21" s="234"/>
      <c r="Q21" s="234"/>
      <c r="R21" s="234"/>
    </row>
    <row r="22" spans="1:18" ht="14.65" customHeight="1" x14ac:dyDescent="0.25">
      <c r="A22" s="234"/>
      <c r="B22" s="234"/>
      <c r="C22" s="234"/>
      <c r="D22" s="234"/>
      <c r="E22" s="234"/>
      <c r="F22" s="234"/>
      <c r="G22" s="234"/>
      <c r="H22" s="234"/>
      <c r="I22" s="234"/>
      <c r="J22" s="234"/>
      <c r="K22" s="234"/>
      <c r="L22" s="234"/>
      <c r="M22" s="234"/>
      <c r="N22" s="234"/>
      <c r="O22" s="234"/>
      <c r="P22" s="234"/>
      <c r="Q22" s="234"/>
      <c r="R22" s="234"/>
    </row>
    <row r="23" spans="1:18" ht="14.65" customHeight="1" x14ac:dyDescent="0.25">
      <c r="A23" s="234"/>
      <c r="B23" s="234"/>
      <c r="C23" s="234"/>
      <c r="D23" s="234"/>
      <c r="E23" s="234"/>
      <c r="F23" s="234"/>
      <c r="G23" s="234"/>
      <c r="H23" s="234"/>
      <c r="I23" s="234"/>
      <c r="J23" s="234"/>
      <c r="K23" s="234"/>
      <c r="L23" s="234"/>
      <c r="M23" s="234"/>
      <c r="N23" s="234"/>
      <c r="O23" s="234"/>
      <c r="P23" s="234"/>
      <c r="Q23" s="234"/>
      <c r="R23" s="234"/>
    </row>
    <row r="24" spans="1:18" ht="14.65" customHeight="1" x14ac:dyDescent="0.25">
      <c r="A24" s="234"/>
      <c r="B24" s="234"/>
      <c r="C24" s="234"/>
      <c r="D24" s="234"/>
      <c r="E24" s="234"/>
      <c r="F24" s="240"/>
      <c r="G24" s="234"/>
      <c r="H24" s="234"/>
      <c r="I24" s="234"/>
      <c r="J24" s="234"/>
      <c r="K24" s="234"/>
      <c r="L24" s="234"/>
      <c r="M24" s="234"/>
      <c r="N24" s="234"/>
      <c r="O24" s="234"/>
      <c r="P24" s="234"/>
      <c r="Q24" s="234"/>
      <c r="R24" s="234"/>
    </row>
    <row r="25" spans="1:18" ht="14.65" customHeight="1" x14ac:dyDescent="0.25">
      <c r="A25" s="234"/>
      <c r="B25" s="234"/>
      <c r="C25" s="234"/>
      <c r="D25" s="234"/>
      <c r="E25" s="234"/>
      <c r="F25" s="241"/>
      <c r="G25" s="234"/>
      <c r="H25" s="234"/>
      <c r="I25" s="234"/>
      <c r="J25" s="234"/>
      <c r="K25" s="234"/>
      <c r="L25" s="234"/>
      <c r="M25" s="234"/>
      <c r="N25" s="234"/>
      <c r="O25" s="234"/>
      <c r="P25" s="234"/>
      <c r="Q25" s="234"/>
      <c r="R25" s="234"/>
    </row>
    <row r="26" spans="1:18" ht="14.65" customHeight="1" x14ac:dyDescent="0.25">
      <c r="A26" s="234"/>
      <c r="B26" s="234"/>
      <c r="C26" s="242"/>
      <c r="D26" s="242"/>
      <c r="E26" s="242"/>
      <c r="F26" s="243"/>
      <c r="G26" s="234"/>
      <c r="H26" s="234"/>
      <c r="I26" s="234"/>
      <c r="J26" s="234"/>
      <c r="K26" s="234"/>
      <c r="L26" s="234"/>
      <c r="M26" s="234"/>
      <c r="N26" s="234"/>
      <c r="O26" s="234"/>
      <c r="P26" s="234"/>
      <c r="Q26" s="234"/>
      <c r="R26" s="234"/>
    </row>
    <row r="27" spans="1:18" ht="14.65" customHeight="1" x14ac:dyDescent="0.25">
      <c r="C27" s="231"/>
      <c r="D27" s="231"/>
      <c r="E27" s="231"/>
      <c r="F27" s="228"/>
    </row>
    <row r="28" spans="1:18" ht="14.65" customHeight="1" x14ac:dyDescent="0.25"/>
    <row r="29" spans="1:18" ht="14.65" customHeight="1" x14ac:dyDescent="0.25"/>
    <row r="30" spans="1:18" ht="14.65" customHeight="1" x14ac:dyDescent="0.25"/>
    <row r="31" spans="1:18" ht="14.65" customHeight="1" x14ac:dyDescent="0.25"/>
    <row r="32" spans="1:18" ht="14.65" customHeight="1" x14ac:dyDescent="0.25"/>
    <row r="33" ht="14.65" customHeight="1" x14ac:dyDescent="0.25"/>
    <row r="34" ht="14.65" customHeight="1" x14ac:dyDescent="0.25"/>
    <row r="35" ht="14.65" customHeight="1" x14ac:dyDescent="0.25"/>
    <row r="36" ht="14.65" customHeight="1" x14ac:dyDescent="0.25"/>
    <row r="37" ht="14.65" customHeight="1" x14ac:dyDescent="0.25"/>
    <row r="38" ht="14.65" customHeight="1" x14ac:dyDescent="0.25"/>
    <row r="39" ht="14.65" customHeight="1" x14ac:dyDescent="0.25"/>
    <row r="40" ht="14.65" customHeight="1" x14ac:dyDescent="0.25"/>
    <row r="41" ht="14.65" customHeight="1" x14ac:dyDescent="0.25"/>
    <row r="42" ht="14.65" customHeight="1" x14ac:dyDescent="0.25"/>
    <row r="43" ht="14.65" customHeight="1" x14ac:dyDescent="0.25"/>
    <row r="44" ht="14.65" customHeight="1" x14ac:dyDescent="0.25"/>
    <row r="45" ht="14.65" customHeight="1" x14ac:dyDescent="0.25"/>
    <row r="46" ht="14.65" customHeight="1" x14ac:dyDescent="0.25"/>
    <row r="47" ht="14.65" customHeight="1" x14ac:dyDescent="0.25"/>
    <row r="48"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207"/>
  <sheetViews>
    <sheetView showGridLines="0" topLeftCell="A17" zoomScaleNormal="100" workbookViewId="0"/>
  </sheetViews>
  <sheetFormatPr defaultColWidth="0" defaultRowHeight="0" customHeight="1" zeroHeight="1" x14ac:dyDescent="0.25"/>
  <cols>
    <col min="1" max="1" width="6.42578125" style="57" bestFit="1" customWidth="1"/>
    <col min="2" max="2" width="11.7109375" style="57" customWidth="1"/>
    <col min="3" max="3" width="16" style="57" customWidth="1"/>
    <col min="4" max="4" width="21" style="57" customWidth="1"/>
    <col min="5" max="6" width="19" style="57" customWidth="1"/>
    <col min="7" max="7" width="21.85546875" style="57" customWidth="1"/>
    <col min="8" max="8" width="19" style="57" customWidth="1"/>
    <col min="9" max="53" width="11.42578125" style="57" customWidth="1"/>
    <col min="54" max="16384" width="0" style="57" hidden="1"/>
  </cols>
  <sheetData>
    <row r="1" spans="1:11" ht="14.65" customHeight="1" x14ac:dyDescent="0.25">
      <c r="A1" s="114"/>
      <c r="B1" s="58" t="s">
        <v>38</v>
      </c>
      <c r="C1" s="115"/>
      <c r="D1" s="115"/>
      <c r="E1" s="115"/>
      <c r="F1" s="115"/>
      <c r="G1" s="115"/>
      <c r="H1" s="191"/>
      <c r="I1" s="192"/>
    </row>
    <row r="2" spans="1:11" ht="14.65" customHeight="1" x14ac:dyDescent="0.25">
      <c r="A2" s="114"/>
      <c r="B2" s="58"/>
      <c r="C2" s="117"/>
      <c r="D2" s="117"/>
      <c r="E2" s="117"/>
      <c r="F2" s="117"/>
      <c r="G2" s="117"/>
      <c r="H2" s="195"/>
      <c r="I2" s="192"/>
    </row>
    <row r="3" spans="1:11" ht="14.65" customHeight="1" x14ac:dyDescent="0.25">
      <c r="A3" s="114"/>
      <c r="B3" s="58"/>
      <c r="C3" s="244" t="s">
        <v>39</v>
      </c>
      <c r="D3" s="117"/>
      <c r="E3" s="117"/>
      <c r="F3" s="117"/>
      <c r="G3" s="117"/>
      <c r="H3" s="195"/>
      <c r="I3" s="192"/>
    </row>
    <row r="4" spans="1:11" ht="14.65" customHeight="1" x14ac:dyDescent="0.25">
      <c r="A4" s="114"/>
      <c r="B4" s="58"/>
      <c r="C4" s="245" t="s">
        <v>40</v>
      </c>
      <c r="D4" s="117"/>
      <c r="E4" s="117"/>
      <c r="F4" s="117"/>
      <c r="G4" s="117"/>
      <c r="H4" s="195"/>
      <c r="I4" s="192"/>
    </row>
    <row r="5" spans="1:11" ht="14.65" customHeight="1" x14ac:dyDescent="0.25">
      <c r="A5" s="114"/>
      <c r="B5" s="58"/>
      <c r="C5" s="117"/>
      <c r="D5" s="117"/>
      <c r="E5" s="117"/>
      <c r="F5" s="117"/>
      <c r="G5" s="117"/>
      <c r="H5" s="195"/>
      <c r="I5" s="192"/>
    </row>
    <row r="6" spans="1:11" ht="14.65" customHeight="1" x14ac:dyDescent="0.25">
      <c r="A6" s="114"/>
      <c r="B6" s="58"/>
      <c r="C6" s="244" t="s">
        <v>41</v>
      </c>
      <c r="D6" s="117"/>
      <c r="E6" s="117"/>
      <c r="F6" s="117"/>
      <c r="G6" s="117"/>
      <c r="H6" s="195"/>
      <c r="I6" s="192"/>
    </row>
    <row r="7" spans="1:11" ht="14.65" customHeight="1" x14ac:dyDescent="0.25">
      <c r="A7" s="114"/>
      <c r="B7" s="58"/>
      <c r="C7" s="244" t="s">
        <v>42</v>
      </c>
      <c r="D7" s="117"/>
      <c r="E7" s="117"/>
      <c r="F7" s="117"/>
      <c r="G7" s="117"/>
      <c r="H7" s="195"/>
      <c r="I7" s="192"/>
    </row>
    <row r="8" spans="1:11" ht="14.65" customHeight="1" x14ac:dyDescent="0.25">
      <c r="A8" s="114"/>
      <c r="B8" s="58"/>
      <c r="C8" s="244" t="s">
        <v>43</v>
      </c>
      <c r="D8" s="117"/>
      <c r="E8" s="117"/>
      <c r="F8" s="117"/>
      <c r="G8" s="117"/>
      <c r="H8" s="195"/>
      <c r="I8" s="192"/>
    </row>
    <row r="9" spans="1:11" ht="14.65" customHeight="1" x14ac:dyDescent="0.25">
      <c r="A9" s="114"/>
      <c r="B9" s="58"/>
      <c r="C9" s="117"/>
      <c r="D9" s="117"/>
      <c r="E9" s="117"/>
      <c r="F9" s="117"/>
      <c r="G9" s="117"/>
      <c r="H9" s="195"/>
      <c r="I9" s="192"/>
    </row>
    <row r="10" spans="1:11" ht="75" x14ac:dyDescent="0.25">
      <c r="A10" s="114"/>
      <c r="B10" s="58"/>
      <c r="C10" s="246" t="s">
        <v>44</v>
      </c>
      <c r="D10" s="246" t="s">
        <v>45</v>
      </c>
      <c r="E10" s="246" t="s">
        <v>46</v>
      </c>
      <c r="F10" s="246" t="s">
        <v>47</v>
      </c>
      <c r="G10" s="246" t="s">
        <v>48</v>
      </c>
      <c r="H10" s="247" t="s">
        <v>49</v>
      </c>
      <c r="I10" s="192"/>
      <c r="K10" s="196"/>
    </row>
    <row r="11" spans="1:11" ht="14.65" customHeight="1" x14ac:dyDescent="0.25">
      <c r="A11" s="114"/>
      <c r="B11" s="58"/>
      <c r="C11" s="248" t="s">
        <v>50</v>
      </c>
      <c r="D11" s="248">
        <v>5</v>
      </c>
      <c r="E11" s="248">
        <v>12</v>
      </c>
      <c r="F11" s="248">
        <v>5</v>
      </c>
      <c r="G11" s="248">
        <v>-1</v>
      </c>
      <c r="H11" s="249">
        <v>3</v>
      </c>
      <c r="I11" s="192"/>
      <c r="J11" s="250"/>
      <c r="K11" s="196"/>
    </row>
    <row r="12" spans="1:11" ht="14.65" customHeight="1" x14ac:dyDescent="0.25">
      <c r="A12" s="114"/>
      <c r="B12" s="58"/>
      <c r="C12" s="248" t="s">
        <v>51</v>
      </c>
      <c r="D12" s="248">
        <v>42</v>
      </c>
      <c r="E12" s="248">
        <v>24</v>
      </c>
      <c r="F12" s="248">
        <v>2.5</v>
      </c>
      <c r="G12" s="248">
        <v>-2</v>
      </c>
      <c r="H12" s="249">
        <v>4.4000000000000004</v>
      </c>
      <c r="I12" s="192"/>
      <c r="K12" s="196"/>
    </row>
    <row r="13" spans="1:11" ht="14.65" customHeight="1" x14ac:dyDescent="0.25">
      <c r="A13" s="114"/>
      <c r="B13" s="58"/>
      <c r="C13" s="248" t="s">
        <v>52</v>
      </c>
      <c r="D13" s="248">
        <v>2.5</v>
      </c>
      <c r="E13" s="248">
        <v>24</v>
      </c>
      <c r="F13" s="248">
        <v>0.5</v>
      </c>
      <c r="G13" s="248">
        <v>-1</v>
      </c>
      <c r="H13" s="249">
        <v>1.75</v>
      </c>
      <c r="I13" s="192"/>
    </row>
    <row r="14" spans="1:11" ht="14.65" customHeight="1" x14ac:dyDescent="0.25">
      <c r="A14" s="114"/>
      <c r="B14" s="58"/>
      <c r="C14" s="248" t="s">
        <v>53</v>
      </c>
      <c r="D14" s="248">
        <v>0.5</v>
      </c>
      <c r="E14" s="248">
        <v>24</v>
      </c>
      <c r="F14" s="248">
        <v>1</v>
      </c>
      <c r="G14" s="248">
        <v>-1</v>
      </c>
      <c r="H14" s="249">
        <v>0.75</v>
      </c>
      <c r="I14" s="192"/>
      <c r="K14" s="196"/>
    </row>
    <row r="15" spans="1:11" ht="14.65" customHeight="1" x14ac:dyDescent="0.25">
      <c r="A15" s="114"/>
      <c r="B15" s="58"/>
      <c r="C15" s="117"/>
      <c r="D15" s="117"/>
      <c r="E15" s="117"/>
      <c r="F15" s="117"/>
      <c r="G15" s="117"/>
      <c r="H15" s="195"/>
      <c r="I15" s="192"/>
    </row>
    <row r="16" spans="1:11" ht="14.65" customHeight="1" x14ac:dyDescent="0.25">
      <c r="A16" s="251" t="s">
        <v>13</v>
      </c>
      <c r="B16" s="58" t="s">
        <v>54</v>
      </c>
      <c r="C16" s="117" t="s">
        <v>55</v>
      </c>
      <c r="D16" s="117"/>
      <c r="E16" s="117"/>
      <c r="F16" s="117"/>
      <c r="G16" s="117"/>
      <c r="H16" s="195"/>
      <c r="I16" s="192"/>
    </row>
    <row r="17" spans="1:17" ht="14.65" customHeight="1" x14ac:dyDescent="0.25">
      <c r="A17" s="252"/>
      <c r="B17" s="58"/>
      <c r="C17" s="117"/>
      <c r="D17" s="153"/>
      <c r="E17" s="154"/>
      <c r="F17" s="154"/>
      <c r="G17" s="154"/>
      <c r="H17" s="199"/>
      <c r="I17" s="192"/>
    </row>
    <row r="18" spans="1:17" ht="14.65" customHeight="1" x14ac:dyDescent="0.25">
      <c r="A18" s="253" t="s">
        <v>27</v>
      </c>
      <c r="B18" s="58" t="s">
        <v>25</v>
      </c>
      <c r="C18" s="245" t="s">
        <v>56</v>
      </c>
      <c r="D18" s="153"/>
      <c r="E18" s="154"/>
      <c r="F18" s="154"/>
      <c r="G18" s="154"/>
      <c r="H18" s="199"/>
      <c r="I18" s="192"/>
    </row>
    <row r="19" spans="1:17" ht="14.65" customHeight="1" thickBot="1" x14ac:dyDescent="0.3">
      <c r="A19" s="206"/>
      <c r="B19" s="207"/>
      <c r="C19" s="208"/>
      <c r="D19" s="209"/>
      <c r="E19" s="209"/>
      <c r="F19" s="209"/>
      <c r="G19" s="209"/>
      <c r="H19" s="209"/>
      <c r="I19" s="210"/>
    </row>
    <row r="20" spans="1:17" ht="14.65" customHeight="1" thickBot="1" x14ac:dyDescent="0.3">
      <c r="A20" s="211" t="s">
        <v>12</v>
      </c>
      <c r="B20" s="212"/>
      <c r="C20" s="212"/>
      <c r="D20" s="213"/>
      <c r="E20" s="214"/>
      <c r="F20" s="214"/>
      <c r="G20" s="214"/>
      <c r="H20" s="214"/>
      <c r="I20" s="215"/>
      <c r="J20"/>
      <c r="K20"/>
      <c r="L20"/>
      <c r="M20"/>
      <c r="N20"/>
      <c r="O20"/>
    </row>
    <row r="21" spans="1:17" ht="14.65" customHeight="1" x14ac:dyDescent="0.25">
      <c r="A21"/>
      <c r="B21"/>
      <c r="C21"/>
      <c r="D21"/>
      <c r="E21"/>
      <c r="F21"/>
      <c r="G21"/>
      <c r="H21"/>
      <c r="I21"/>
      <c r="J21"/>
      <c r="K21"/>
      <c r="L21"/>
      <c r="M21"/>
      <c r="N21"/>
      <c r="O21"/>
      <c r="P21"/>
      <c r="Q21"/>
    </row>
    <row r="22" spans="1:17" ht="14.65" customHeight="1" x14ac:dyDescent="0.25">
      <c r="A22" s="254" t="s">
        <v>57</v>
      </c>
      <c r="B22" s="254"/>
      <c r="C22" s="57" t="s">
        <v>58</v>
      </c>
    </row>
    <row r="23" spans="1:17" ht="14.65" customHeight="1" x14ac:dyDescent="0.25">
      <c r="C23" s="232" t="s">
        <v>59</v>
      </c>
    </row>
    <row r="24" spans="1:17" ht="14.65" customHeight="1" x14ac:dyDescent="0.25">
      <c r="C24" s="232" t="s">
        <v>60</v>
      </c>
    </row>
    <row r="25" spans="1:17" ht="14.65" customHeight="1" x14ac:dyDescent="0.25">
      <c r="C25" s="232" t="s">
        <v>61</v>
      </c>
    </row>
    <row r="26" spans="1:17" ht="14.65" customHeight="1" x14ac:dyDescent="0.25">
      <c r="C26" s="232" t="s">
        <v>62</v>
      </c>
    </row>
    <row r="27" spans="1:17" ht="14.65" customHeight="1" x14ac:dyDescent="0.25"/>
    <row r="28" spans="1:17" ht="14.65" customHeight="1" x14ac:dyDescent="0.25">
      <c r="A28" s="255"/>
      <c r="B28" s="255"/>
      <c r="C28" s="255" t="s">
        <v>50</v>
      </c>
      <c r="D28" s="57" t="s">
        <v>63</v>
      </c>
    </row>
    <row r="29" spans="1:17" ht="14.65" customHeight="1" x14ac:dyDescent="0.25">
      <c r="A29" s="255"/>
      <c r="B29" s="255"/>
      <c r="C29" s="255"/>
    </row>
    <row r="30" spans="1:17" ht="14.65" customHeight="1" x14ac:dyDescent="0.25">
      <c r="A30" s="255"/>
      <c r="B30" s="255"/>
      <c r="C30" s="255" t="s">
        <v>51</v>
      </c>
      <c r="D30" s="57" t="s">
        <v>64</v>
      </c>
      <c r="F30" s="255"/>
    </row>
    <row r="31" spans="1:17" ht="14.65" customHeight="1" x14ac:dyDescent="0.25">
      <c r="C31" s="255"/>
      <c r="D31" s="57" t="s">
        <v>65</v>
      </c>
      <c r="E31" s="57">
        <f>F12</f>
        <v>2.5</v>
      </c>
      <c r="F31" s="255"/>
    </row>
    <row r="32" spans="1:17" ht="14.65" customHeight="1" x14ac:dyDescent="0.25">
      <c r="C32" s="255"/>
      <c r="D32" s="57" t="s">
        <v>66</v>
      </c>
      <c r="E32" s="57">
        <f>G12+H12</f>
        <v>2.4000000000000004</v>
      </c>
      <c r="F32" s="255"/>
    </row>
    <row r="33" spans="1:6" ht="14.65" customHeight="1" x14ac:dyDescent="0.25">
      <c r="C33" s="255"/>
      <c r="D33" s="57" t="s">
        <v>67</v>
      </c>
      <c r="E33" s="256">
        <f>(E31-E32)/D12</f>
        <v>2.3809523809523725E-3</v>
      </c>
      <c r="F33" s="257"/>
    </row>
    <row r="34" spans="1:6" ht="14.65" customHeight="1" x14ac:dyDescent="0.25">
      <c r="C34" s="255"/>
      <c r="D34" s="232" t="s">
        <v>68</v>
      </c>
      <c r="F34" s="255"/>
    </row>
    <row r="35" spans="1:6" ht="14.65" customHeight="1" x14ac:dyDescent="0.25">
      <c r="C35" s="255"/>
      <c r="D35" s="232"/>
      <c r="F35" s="255"/>
    </row>
    <row r="36" spans="1:6" ht="14.65" customHeight="1" x14ac:dyDescent="0.25">
      <c r="A36" s="255"/>
      <c r="B36" s="255"/>
      <c r="C36" s="255" t="s">
        <v>52</v>
      </c>
      <c r="D36" s="57" t="s">
        <v>64</v>
      </c>
      <c r="F36" s="255"/>
    </row>
    <row r="37" spans="1:6" ht="14.65" customHeight="1" x14ac:dyDescent="0.25">
      <c r="C37" s="255"/>
      <c r="D37" s="57" t="s">
        <v>65</v>
      </c>
      <c r="E37" s="57">
        <f>F13</f>
        <v>0.5</v>
      </c>
      <c r="F37" s="255"/>
    </row>
    <row r="38" spans="1:6" ht="14.65" customHeight="1" x14ac:dyDescent="0.25">
      <c r="C38" s="255"/>
      <c r="D38" s="57" t="s">
        <v>66</v>
      </c>
      <c r="E38" s="57">
        <f>G13+H13</f>
        <v>0.75</v>
      </c>
      <c r="F38" s="255"/>
    </row>
    <row r="39" spans="1:6" ht="14.65" customHeight="1" x14ac:dyDescent="0.25">
      <c r="C39" s="255"/>
      <c r="D39" s="57" t="s">
        <v>67</v>
      </c>
      <c r="E39" s="258">
        <f>(E37-E38)/D13</f>
        <v>-0.1</v>
      </c>
      <c r="F39" s="255"/>
    </row>
    <row r="40" spans="1:6" ht="14.65" customHeight="1" x14ac:dyDescent="0.25">
      <c r="C40" s="255"/>
      <c r="D40" s="232" t="s">
        <v>69</v>
      </c>
      <c r="F40" s="255"/>
    </row>
    <row r="41" spans="1:6" ht="14.65" customHeight="1" x14ac:dyDescent="0.25">
      <c r="C41" s="255"/>
      <c r="D41" s="232"/>
      <c r="F41" s="255"/>
    </row>
    <row r="42" spans="1:6" ht="14.65" customHeight="1" x14ac:dyDescent="0.25">
      <c r="A42" s="255"/>
      <c r="B42" s="255"/>
      <c r="C42" s="255" t="s">
        <v>53</v>
      </c>
      <c r="D42" s="57" t="s">
        <v>70</v>
      </c>
      <c r="E42" s="256">
        <f>D14/50</f>
        <v>0.01</v>
      </c>
    </row>
    <row r="43" spans="1:6" ht="14.65" customHeight="1" x14ac:dyDescent="0.25">
      <c r="C43" s="255"/>
      <c r="D43" s="232" t="s">
        <v>68</v>
      </c>
    </row>
    <row r="44" spans="1:6" ht="14.65" customHeight="1" x14ac:dyDescent="0.25"/>
    <row r="45" spans="1:6" ht="14.65" customHeight="1" x14ac:dyDescent="0.25"/>
    <row r="46" spans="1:6" ht="14.65" customHeight="1" x14ac:dyDescent="0.25">
      <c r="C46" s="57" t="s">
        <v>71</v>
      </c>
    </row>
    <row r="47" spans="1:6" ht="14.65" customHeight="1" x14ac:dyDescent="0.25"/>
    <row r="48" spans="1:6" ht="14.65" customHeight="1" x14ac:dyDescent="0.25">
      <c r="C48" s="259" t="s">
        <v>72</v>
      </c>
    </row>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row r="199" ht="14.65" customHeight="1" x14ac:dyDescent="0.25"/>
    <row r="200" ht="14.65" customHeight="1" x14ac:dyDescent="0.25"/>
    <row r="201" ht="14.65" customHeight="1" x14ac:dyDescent="0.25"/>
    <row r="202" ht="14.65" customHeight="1" x14ac:dyDescent="0.25"/>
    <row r="203" ht="14.65" customHeight="1" x14ac:dyDescent="0.25"/>
    <row r="204" ht="14.65" customHeight="1" x14ac:dyDescent="0.25"/>
    <row r="205" ht="14.65" customHeight="1" x14ac:dyDescent="0.25"/>
    <row r="206" ht="14.65" customHeight="1" x14ac:dyDescent="0.25"/>
    <row r="207" ht="14.65" customHeight="1" x14ac:dyDescent="0.25"/>
  </sheetData>
  <sheetProtection formatCells="0" formatColumns="0" formatRows="0"/>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198"/>
  <sheetViews>
    <sheetView showGridLines="0" topLeftCell="A13" zoomScaleNormal="100" workbookViewId="0"/>
  </sheetViews>
  <sheetFormatPr defaultColWidth="0" defaultRowHeight="0" customHeight="1" zeroHeight="1" x14ac:dyDescent="0.25"/>
  <cols>
    <col min="1" max="1" width="6.42578125" style="77" bestFit="1" customWidth="1"/>
    <col min="2" max="2" width="12.140625" style="77" customWidth="1"/>
    <col min="3" max="3" width="13.42578125" style="77" customWidth="1"/>
    <col min="4" max="9" width="11.42578125" style="77" customWidth="1"/>
    <col min="10" max="10" width="33.5703125" style="77" customWidth="1"/>
    <col min="11" max="54" width="11.42578125" style="77" customWidth="1"/>
    <col min="55" max="16384" width="0" style="77" hidden="1"/>
  </cols>
  <sheetData>
    <row r="1" spans="1:11" ht="14.65" customHeight="1" x14ac:dyDescent="0.25">
      <c r="A1" s="114"/>
      <c r="B1" s="58" t="s">
        <v>73</v>
      </c>
      <c r="C1" s="115"/>
      <c r="D1" s="115"/>
      <c r="E1" s="115"/>
      <c r="F1" s="115"/>
      <c r="G1" s="115"/>
      <c r="H1" s="115"/>
      <c r="I1" s="115"/>
      <c r="J1" s="116"/>
    </row>
    <row r="2" spans="1:11" ht="14.65" customHeight="1" x14ac:dyDescent="0.25">
      <c r="A2" s="114"/>
      <c r="B2" s="58"/>
      <c r="C2" s="117" t="s">
        <v>74</v>
      </c>
      <c r="D2" s="117"/>
      <c r="E2" s="117"/>
      <c r="F2" s="117"/>
      <c r="G2" s="117"/>
      <c r="H2" s="117"/>
      <c r="I2" s="117"/>
      <c r="J2" s="116"/>
    </row>
    <row r="3" spans="1:11" ht="14.65" customHeight="1" x14ac:dyDescent="0.25">
      <c r="A3" s="114"/>
      <c r="B3" s="58"/>
      <c r="C3" s="117" t="s">
        <v>75</v>
      </c>
      <c r="D3" s="117"/>
      <c r="E3" s="117"/>
      <c r="F3" s="117"/>
      <c r="G3" s="117"/>
      <c r="H3" s="117"/>
      <c r="I3" s="117"/>
      <c r="J3" s="116"/>
    </row>
    <row r="4" spans="1:11" ht="14.65" customHeight="1" x14ac:dyDescent="0.25">
      <c r="A4" s="114"/>
      <c r="B4" s="58"/>
      <c r="C4" s="117"/>
      <c r="D4" s="117"/>
      <c r="E4" s="117"/>
      <c r="F4" s="117"/>
      <c r="G4" s="117"/>
      <c r="H4" s="117"/>
      <c r="I4" s="117"/>
      <c r="J4" s="116"/>
    </row>
    <row r="5" spans="1:11" ht="14.65" customHeight="1" x14ac:dyDescent="0.25">
      <c r="A5" s="114"/>
      <c r="B5" s="58"/>
      <c r="C5" s="118" t="s">
        <v>76</v>
      </c>
      <c r="D5" s="117"/>
      <c r="E5" s="117"/>
      <c r="F5" s="117"/>
      <c r="G5" s="117"/>
      <c r="H5" s="117"/>
      <c r="I5" s="117"/>
      <c r="J5" s="116"/>
    </row>
    <row r="6" spans="1:11" ht="14.65" customHeight="1" x14ac:dyDescent="0.25">
      <c r="A6" s="114"/>
      <c r="B6" s="58"/>
      <c r="C6" s="119" t="s">
        <v>4</v>
      </c>
      <c r="D6" s="117"/>
      <c r="E6" s="117"/>
      <c r="F6" s="117"/>
      <c r="G6" s="117"/>
      <c r="H6" s="117"/>
      <c r="I6" s="117"/>
      <c r="J6" s="116"/>
    </row>
    <row r="7" spans="1:11" ht="14.65" customHeight="1" x14ac:dyDescent="0.25">
      <c r="A7" s="114"/>
      <c r="B7" s="58"/>
      <c r="C7" s="118" t="s">
        <v>77</v>
      </c>
      <c r="D7" s="117"/>
      <c r="E7" s="117"/>
      <c r="F7" s="117"/>
      <c r="G7" s="117"/>
      <c r="H7" s="117"/>
      <c r="I7" s="117"/>
      <c r="J7" s="116"/>
    </row>
    <row r="8" spans="1:11" ht="14.65" customHeight="1" x14ac:dyDescent="0.25">
      <c r="A8" s="114"/>
      <c r="B8" s="58"/>
      <c r="C8" s="118" t="s">
        <v>78</v>
      </c>
      <c r="D8" s="117"/>
      <c r="E8" s="117"/>
      <c r="F8" s="117"/>
      <c r="G8" s="117"/>
      <c r="H8" s="117"/>
      <c r="I8" s="117"/>
      <c r="J8" s="116"/>
    </row>
    <row r="9" spans="1:11" ht="14.65" customHeight="1" x14ac:dyDescent="0.25">
      <c r="A9" s="114"/>
      <c r="B9" s="58"/>
      <c r="C9" s="118" t="s">
        <v>79</v>
      </c>
      <c r="D9" s="117"/>
      <c r="E9" s="117"/>
      <c r="F9" s="117"/>
      <c r="G9" s="117"/>
      <c r="H9" s="117"/>
      <c r="I9" s="117"/>
      <c r="J9" s="116"/>
    </row>
    <row r="10" spans="1:11" ht="14.65" customHeight="1" x14ac:dyDescent="0.25">
      <c r="A10" s="114"/>
      <c r="B10" s="58"/>
      <c r="C10" s="117"/>
      <c r="D10" s="117"/>
      <c r="E10" s="117"/>
      <c r="F10" s="117"/>
      <c r="G10" s="117"/>
      <c r="H10" s="117"/>
      <c r="I10" s="117"/>
      <c r="J10" s="116"/>
    </row>
    <row r="11" spans="1:11" ht="14.65" customHeight="1" x14ac:dyDescent="0.25">
      <c r="A11" s="114"/>
      <c r="B11" s="58"/>
      <c r="C11" s="120" t="s">
        <v>80</v>
      </c>
      <c r="D11" s="121"/>
      <c r="E11" s="121"/>
      <c r="F11" s="121"/>
      <c r="G11" s="120">
        <v>2024</v>
      </c>
      <c r="H11" s="121">
        <v>2025</v>
      </c>
      <c r="I11" s="122">
        <v>2026</v>
      </c>
      <c r="J11" s="116"/>
    </row>
    <row r="12" spans="1:11" ht="14.65" customHeight="1" x14ac:dyDescent="0.25">
      <c r="A12" s="114"/>
      <c r="B12" s="58"/>
      <c r="C12" s="123" t="s">
        <v>81</v>
      </c>
      <c r="D12" s="117"/>
      <c r="E12" s="117"/>
      <c r="F12" s="117"/>
      <c r="G12" s="124">
        <v>0.5</v>
      </c>
      <c r="H12" s="125">
        <v>0.3</v>
      </c>
      <c r="I12" s="126">
        <v>0.2</v>
      </c>
      <c r="J12" s="116"/>
    </row>
    <row r="13" spans="1:11" ht="14.65" customHeight="1" x14ac:dyDescent="0.25">
      <c r="A13" s="114"/>
      <c r="B13" s="58"/>
      <c r="C13" s="127" t="s">
        <v>82</v>
      </c>
      <c r="D13" s="128"/>
      <c r="E13" s="129"/>
      <c r="F13" s="129"/>
      <c r="G13" s="184">
        <v>450000</v>
      </c>
      <c r="H13" s="185">
        <v>270000</v>
      </c>
      <c r="I13" s="186">
        <v>160000</v>
      </c>
      <c r="J13" s="116"/>
      <c r="K13" s="187"/>
    </row>
    <row r="14" spans="1:11" ht="14.65" customHeight="1" x14ac:dyDescent="0.25">
      <c r="A14" s="114"/>
      <c r="B14" s="58"/>
      <c r="C14" s="115"/>
      <c r="D14" s="115"/>
      <c r="E14" s="115"/>
      <c r="F14" s="115"/>
      <c r="G14" s="115"/>
      <c r="H14" s="115"/>
      <c r="I14" s="115"/>
      <c r="J14" s="116"/>
    </row>
    <row r="15" spans="1:11" ht="14.65" customHeight="1" x14ac:dyDescent="0.25">
      <c r="A15" s="114"/>
      <c r="B15" s="58"/>
      <c r="C15" s="115" t="s">
        <v>83</v>
      </c>
      <c r="D15" s="115"/>
      <c r="E15" s="115"/>
      <c r="F15" s="115"/>
      <c r="G15" s="115"/>
      <c r="H15" s="115"/>
      <c r="I15" s="115"/>
      <c r="J15" s="116"/>
    </row>
    <row r="16" spans="1:11" ht="14.65" customHeight="1" x14ac:dyDescent="0.25">
      <c r="A16" s="114"/>
      <c r="B16" s="58"/>
      <c r="C16" s="120" t="s">
        <v>84</v>
      </c>
      <c r="D16" s="121"/>
      <c r="E16" s="121"/>
      <c r="F16" s="121"/>
      <c r="G16" s="131">
        <v>0.5</v>
      </c>
      <c r="H16" s="132">
        <v>1.5</v>
      </c>
      <c r="I16" s="133">
        <v>2.5</v>
      </c>
      <c r="J16" s="116"/>
    </row>
    <row r="17" spans="1:12" ht="14.65" customHeight="1" x14ac:dyDescent="0.25">
      <c r="A17" s="114"/>
      <c r="B17" s="58"/>
      <c r="C17" s="120" t="s">
        <v>85</v>
      </c>
      <c r="D17" s="121"/>
      <c r="E17" s="121"/>
      <c r="F17" s="121"/>
      <c r="G17" s="134">
        <v>2.1999999999999999E-2</v>
      </c>
      <c r="H17" s="135">
        <v>2.5000000000000001E-2</v>
      </c>
      <c r="I17" s="136">
        <v>2.8000000000000001E-2</v>
      </c>
      <c r="J17" s="116"/>
    </row>
    <row r="18" spans="1:12" ht="14.65" customHeight="1" x14ac:dyDescent="0.25">
      <c r="A18" s="114"/>
      <c r="B18" s="58"/>
      <c r="C18" s="115"/>
      <c r="D18" s="115"/>
      <c r="E18" s="115"/>
      <c r="F18" s="115"/>
      <c r="G18" s="115"/>
      <c r="H18" s="115"/>
      <c r="I18" s="115"/>
      <c r="J18" s="116"/>
    </row>
    <row r="19" spans="1:12" ht="14.65" customHeight="1" x14ac:dyDescent="0.25">
      <c r="A19" s="137" t="s">
        <v>13</v>
      </c>
      <c r="B19" s="58" t="s">
        <v>0</v>
      </c>
      <c r="C19" s="115" t="s">
        <v>86</v>
      </c>
      <c r="D19" s="115"/>
      <c r="E19" s="115"/>
      <c r="F19" s="115"/>
      <c r="G19" s="115"/>
      <c r="H19" s="115"/>
      <c r="I19" s="115"/>
      <c r="J19" s="116"/>
    </row>
    <row r="20" spans="1:12" ht="14.65" customHeight="1" x14ac:dyDescent="0.25">
      <c r="A20" s="137"/>
      <c r="B20" s="58"/>
      <c r="C20" s="115"/>
      <c r="D20" s="115"/>
      <c r="E20" s="115"/>
      <c r="F20" s="115"/>
      <c r="G20" s="115"/>
      <c r="H20" s="115"/>
      <c r="I20" s="115"/>
      <c r="J20" s="116"/>
    </row>
    <row r="21" spans="1:12" ht="14.65" customHeight="1" x14ac:dyDescent="0.25">
      <c r="A21" s="137" t="s">
        <v>27</v>
      </c>
      <c r="B21" s="58" t="s">
        <v>87</v>
      </c>
      <c r="C21" s="115" t="s">
        <v>88</v>
      </c>
      <c r="D21" s="115"/>
      <c r="E21" s="115"/>
      <c r="F21" s="115"/>
      <c r="G21" s="115"/>
      <c r="H21" s="115"/>
      <c r="I21" s="115"/>
      <c r="J21" s="116"/>
    </row>
    <row r="22" spans="1:12" ht="14.65" customHeight="1" thickBot="1" x14ac:dyDescent="0.3">
      <c r="A22" s="138"/>
      <c r="B22" s="139"/>
      <c r="C22" s="140"/>
      <c r="D22" s="141"/>
      <c r="E22" s="141"/>
      <c r="F22" s="141"/>
      <c r="G22" s="141"/>
      <c r="H22" s="141"/>
      <c r="I22" s="141"/>
      <c r="J22" s="142"/>
    </row>
    <row r="23" spans="1:12" ht="14.65" customHeight="1" thickBot="1" x14ac:dyDescent="0.3">
      <c r="A23" s="143" t="s">
        <v>12</v>
      </c>
      <c r="B23" s="144"/>
      <c r="C23" s="144"/>
      <c r="D23" s="144"/>
      <c r="E23" s="145"/>
      <c r="F23" s="146"/>
      <c r="G23" s="146"/>
      <c r="H23" s="146"/>
      <c r="I23" s="146"/>
      <c r="J23" s="147"/>
    </row>
    <row r="24" spans="1:12" ht="14.65" customHeight="1" x14ac:dyDescent="0.25">
      <c r="A24" s="69"/>
      <c r="B24" s="69"/>
      <c r="C24" s="69"/>
      <c r="D24" s="69"/>
      <c r="E24" s="69"/>
      <c r="F24" s="69"/>
      <c r="G24" s="69"/>
      <c r="H24" s="69"/>
      <c r="I24" s="69"/>
      <c r="J24" s="69"/>
      <c r="K24" s="69"/>
      <c r="L24" s="69"/>
    </row>
    <row r="25" spans="1:12" ht="14.65" customHeight="1" x14ac:dyDescent="0.25">
      <c r="A25" s="70">
        <v>0.75</v>
      </c>
      <c r="C25" s="77" t="s">
        <v>89</v>
      </c>
      <c r="D25" s="77" t="s">
        <v>90</v>
      </c>
    </row>
    <row r="26" spans="1:12" ht="14.65" customHeight="1" x14ac:dyDescent="0.25">
      <c r="A26" s="70">
        <v>0.5</v>
      </c>
      <c r="C26" s="77" t="s">
        <v>91</v>
      </c>
    </row>
    <row r="27" spans="1:12" ht="14.65" customHeight="1" x14ac:dyDescent="0.25">
      <c r="A27" s="70">
        <v>0.25</v>
      </c>
      <c r="C27" s="77" t="s">
        <v>92</v>
      </c>
    </row>
    <row r="28" spans="1:12" ht="14.65" customHeight="1" x14ac:dyDescent="0.25">
      <c r="A28" s="70"/>
    </row>
    <row r="29" spans="1:12" ht="14.65" customHeight="1" x14ac:dyDescent="0.25">
      <c r="A29" s="70"/>
    </row>
    <row r="30" spans="1:12" ht="14.65" customHeight="1" x14ac:dyDescent="0.25">
      <c r="A30" s="70">
        <v>1.25</v>
      </c>
      <c r="C30" s="77" t="s">
        <v>93</v>
      </c>
      <c r="D30" s="77" t="s">
        <v>94</v>
      </c>
    </row>
    <row r="31" spans="1:12" ht="14.65" customHeight="1" x14ac:dyDescent="0.25">
      <c r="A31" s="70"/>
    </row>
    <row r="32" spans="1:12" ht="14.65" customHeight="1" x14ac:dyDescent="0.25">
      <c r="A32" s="70"/>
      <c r="C32" s="77" t="s">
        <v>95</v>
      </c>
      <c r="D32" s="77">
        <v>0.5</v>
      </c>
      <c r="E32" s="77">
        <v>1.5</v>
      </c>
      <c r="F32" s="77">
        <v>2.5</v>
      </c>
      <c r="G32" s="77" t="s">
        <v>96</v>
      </c>
    </row>
    <row r="33" spans="1:7" ht="14.65" customHeight="1" x14ac:dyDescent="0.25">
      <c r="A33" s="70">
        <v>0.25</v>
      </c>
      <c r="C33" s="77" t="s">
        <v>97</v>
      </c>
      <c r="D33" s="188">
        <f>1200000*G12</f>
        <v>600000</v>
      </c>
      <c r="E33" s="188">
        <f>1200000*H12</f>
        <v>360000</v>
      </c>
      <c r="F33" s="188">
        <f>1200000*I12</f>
        <v>240000</v>
      </c>
      <c r="G33" s="189">
        <f>SUM(D33:F33)</f>
        <v>1200000</v>
      </c>
    </row>
    <row r="34" spans="1:7" ht="14.65" customHeight="1" x14ac:dyDescent="0.25">
      <c r="A34" s="70">
        <v>0.25</v>
      </c>
      <c r="C34" s="77" t="s">
        <v>98</v>
      </c>
      <c r="D34" s="189">
        <f>D33/(1+G17)^D32</f>
        <v>593506.94118669804</v>
      </c>
      <c r="E34" s="189">
        <f>E33/(1+H17)^E32</f>
        <v>346909.90711595351</v>
      </c>
      <c r="F34" s="189">
        <f>F33/(1+I17)^F32</f>
        <v>223989.90990187347</v>
      </c>
      <c r="G34" s="189">
        <f>SUM(D34:F34)</f>
        <v>1164406.7582045251</v>
      </c>
    </row>
    <row r="35" spans="1:7" ht="14.65" customHeight="1" x14ac:dyDescent="0.25">
      <c r="A35" s="70"/>
      <c r="D35" s="189"/>
      <c r="E35" s="189"/>
      <c r="F35" s="189"/>
      <c r="G35" s="189"/>
    </row>
    <row r="36" spans="1:7" ht="14.65" customHeight="1" x14ac:dyDescent="0.25">
      <c r="A36" s="70">
        <v>0.25</v>
      </c>
      <c r="C36" s="77" t="s">
        <v>99</v>
      </c>
      <c r="D36" s="189">
        <f>G13*10%</f>
        <v>45000</v>
      </c>
      <c r="E36" s="189">
        <f>H13*10%</f>
        <v>27000</v>
      </c>
      <c r="F36" s="189">
        <f>I13*10%</f>
        <v>16000</v>
      </c>
      <c r="G36" s="189">
        <f>SUM(D36:F36)</f>
        <v>88000</v>
      </c>
    </row>
    <row r="37" spans="1:7" ht="14.65" customHeight="1" x14ac:dyDescent="0.25">
      <c r="A37" s="70">
        <v>0.25</v>
      </c>
      <c r="C37" s="77" t="s">
        <v>100</v>
      </c>
      <c r="D37" s="189">
        <f>D36/(1+G17)^D32</f>
        <v>44513.02058900235</v>
      </c>
      <c r="E37" s="189">
        <f>E36/(1+H17)^E32</f>
        <v>26018.243033696512</v>
      </c>
      <c r="F37" s="189">
        <f>F36/(1+I17)^F32</f>
        <v>14932.660660124899</v>
      </c>
      <c r="G37" s="189">
        <f>SUM(D37:F37)</f>
        <v>85463.924282823762</v>
      </c>
    </row>
    <row r="38" spans="1:7" ht="14.65" customHeight="1" x14ac:dyDescent="0.25">
      <c r="A38" s="70"/>
    </row>
    <row r="39" spans="1:7" ht="14.65" customHeight="1" x14ac:dyDescent="0.25">
      <c r="A39" s="70"/>
      <c r="C39" s="77" t="s">
        <v>101</v>
      </c>
      <c r="D39" s="189">
        <f>G34</f>
        <v>1164406.7582045251</v>
      </c>
    </row>
    <row r="40" spans="1:7" ht="14.65" customHeight="1" x14ac:dyDescent="0.25">
      <c r="A40" s="70"/>
      <c r="C40" s="77" t="s">
        <v>102</v>
      </c>
      <c r="D40" s="189">
        <f>G37</f>
        <v>85463.924282823762</v>
      </c>
    </row>
    <row r="41" spans="1:7" ht="14.65" customHeight="1" x14ac:dyDescent="0.25">
      <c r="A41" s="70">
        <v>0.25</v>
      </c>
      <c r="C41" s="77" t="s">
        <v>20</v>
      </c>
      <c r="D41" s="189">
        <f>SUM(D39:D40)</f>
        <v>1249870.6824873488</v>
      </c>
    </row>
    <row r="42" spans="1:7" ht="14.65" customHeight="1" x14ac:dyDescent="0.25"/>
    <row r="43" spans="1:7" ht="14.65" customHeight="1" x14ac:dyDescent="0.25"/>
    <row r="44" spans="1:7" ht="14.65" customHeight="1" x14ac:dyDescent="0.25"/>
    <row r="45" spans="1:7" ht="14.65" customHeight="1" x14ac:dyDescent="0.25"/>
    <row r="46" spans="1:7" ht="14.65" customHeight="1" x14ac:dyDescent="0.25"/>
    <row r="47" spans="1:7" ht="14.65" customHeight="1" x14ac:dyDescent="0.25"/>
    <row r="48" spans="1:7"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row r="174" ht="14.65" customHeight="1" x14ac:dyDescent="0.25"/>
    <row r="175" ht="14.65" customHeight="1" x14ac:dyDescent="0.25"/>
    <row r="176" ht="14.65" customHeight="1" x14ac:dyDescent="0.25"/>
    <row r="177" ht="14.65" customHeight="1" x14ac:dyDescent="0.25"/>
    <row r="178" ht="14.65" customHeight="1" x14ac:dyDescent="0.25"/>
    <row r="179" ht="14.65" customHeight="1" x14ac:dyDescent="0.25"/>
    <row r="180" ht="14.65" customHeight="1" x14ac:dyDescent="0.25"/>
    <row r="181" ht="14.65" customHeight="1" x14ac:dyDescent="0.25"/>
    <row r="182" ht="14.65" customHeight="1" x14ac:dyDescent="0.25"/>
    <row r="183" ht="14.65" customHeight="1" x14ac:dyDescent="0.25"/>
    <row r="184" ht="14.65" customHeight="1" x14ac:dyDescent="0.25"/>
    <row r="185" ht="14.65" customHeight="1" x14ac:dyDescent="0.25"/>
    <row r="186" ht="14.65" customHeight="1" x14ac:dyDescent="0.25"/>
    <row r="187" ht="14.65" customHeight="1" x14ac:dyDescent="0.25"/>
    <row r="188" ht="14.65" customHeight="1" x14ac:dyDescent="0.25"/>
    <row r="189" ht="14.65" customHeight="1" x14ac:dyDescent="0.25"/>
    <row r="190" ht="14.65" customHeight="1" x14ac:dyDescent="0.25"/>
    <row r="191" ht="14.65" customHeight="1" x14ac:dyDescent="0.25"/>
    <row r="192" ht="14.65" customHeight="1" x14ac:dyDescent="0.25"/>
    <row r="193" ht="14.65" customHeight="1" x14ac:dyDescent="0.25"/>
    <row r="194" ht="14.65" customHeight="1" x14ac:dyDescent="0.25"/>
    <row r="195" ht="14.65" customHeight="1" x14ac:dyDescent="0.25"/>
    <row r="196" ht="14.65" customHeight="1" x14ac:dyDescent="0.25"/>
    <row r="197" ht="14.65" customHeight="1" x14ac:dyDescent="0.25"/>
    <row r="198" ht="14.65" customHeight="1" x14ac:dyDescent="0.25"/>
  </sheetData>
  <sheetProtection formatCells="0" formatColumns="0" formatRows="0"/>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73"/>
  <sheetViews>
    <sheetView showGridLines="0" topLeftCell="A10" zoomScaleNormal="100" workbookViewId="0"/>
  </sheetViews>
  <sheetFormatPr defaultColWidth="0" defaultRowHeight="0" customHeight="1" zeroHeight="1" x14ac:dyDescent="0.25"/>
  <cols>
    <col min="1" max="1" width="6.42578125" style="57" bestFit="1" customWidth="1"/>
    <col min="2" max="2" width="11.85546875" style="57" customWidth="1"/>
    <col min="3" max="9" width="11.42578125" style="57" customWidth="1"/>
    <col min="10" max="10" width="37.28515625" style="57" customWidth="1"/>
    <col min="11" max="53" width="11.42578125" style="57" customWidth="1"/>
    <col min="54" max="16384" width="0" style="57" hidden="1"/>
  </cols>
  <sheetData>
    <row r="1" spans="1:13" ht="14.65" customHeight="1" x14ac:dyDescent="0.25">
      <c r="A1" s="114"/>
      <c r="B1" s="58" t="s">
        <v>73</v>
      </c>
      <c r="C1" s="115"/>
      <c r="D1" s="115"/>
      <c r="E1" s="115"/>
      <c r="F1" s="115"/>
      <c r="G1" s="115"/>
      <c r="H1" s="117"/>
      <c r="I1" s="117"/>
      <c r="J1" s="116"/>
    </row>
    <row r="2" spans="1:13" ht="14.65" customHeight="1" x14ac:dyDescent="0.25">
      <c r="A2" s="114"/>
      <c r="B2" s="58"/>
      <c r="C2" s="117" t="s">
        <v>103</v>
      </c>
      <c r="D2" s="117"/>
      <c r="E2" s="117"/>
      <c r="F2" s="117"/>
      <c r="G2" s="117"/>
      <c r="H2" s="117"/>
      <c r="I2" s="117"/>
      <c r="J2" s="116"/>
    </row>
    <row r="3" spans="1:13" ht="14.65" customHeight="1" x14ac:dyDescent="0.25">
      <c r="A3" s="114"/>
      <c r="B3" s="58"/>
      <c r="C3" s="117" t="s">
        <v>75</v>
      </c>
      <c r="D3" s="117"/>
      <c r="E3" s="117"/>
      <c r="F3" s="117"/>
      <c r="G3" s="117"/>
      <c r="H3" s="117"/>
      <c r="I3" s="117"/>
      <c r="J3" s="116"/>
      <c r="M3" s="149"/>
    </row>
    <row r="4" spans="1:13" ht="14.65" customHeight="1" x14ac:dyDescent="0.25">
      <c r="A4" s="114"/>
      <c r="B4" s="58"/>
      <c r="C4" s="117"/>
      <c r="D4" s="117"/>
      <c r="E4" s="117"/>
      <c r="F4" s="117"/>
      <c r="G4" s="117"/>
      <c r="H4" s="117"/>
      <c r="I4" s="117"/>
      <c r="J4" s="116"/>
    </row>
    <row r="5" spans="1:13" ht="14.65" customHeight="1" x14ac:dyDescent="0.25">
      <c r="A5" s="114"/>
      <c r="B5" s="58"/>
      <c r="C5" s="118" t="s">
        <v>104</v>
      </c>
      <c r="D5" s="117"/>
      <c r="E5" s="117"/>
      <c r="F5" s="117"/>
      <c r="G5" s="117"/>
      <c r="H5" s="117"/>
      <c r="I5" s="117"/>
      <c r="J5" s="116"/>
    </row>
    <row r="6" spans="1:13" ht="14.65" customHeight="1" x14ac:dyDescent="0.25">
      <c r="A6" s="114"/>
      <c r="B6" s="58"/>
      <c r="C6" s="119" t="s">
        <v>105</v>
      </c>
      <c r="D6" s="117"/>
      <c r="E6" s="117"/>
      <c r="F6" s="117"/>
      <c r="G6" s="117"/>
      <c r="H6" s="117"/>
      <c r="I6" s="117"/>
      <c r="J6" s="116"/>
    </row>
    <row r="7" spans="1:13" ht="14.65" customHeight="1" x14ac:dyDescent="0.25">
      <c r="A7" s="114"/>
      <c r="B7" s="58"/>
      <c r="C7" s="118" t="s">
        <v>106</v>
      </c>
      <c r="D7" s="117"/>
      <c r="E7" s="117"/>
      <c r="F7" s="117"/>
      <c r="G7" s="117"/>
      <c r="H7" s="117"/>
      <c r="I7" s="117"/>
      <c r="J7" s="116"/>
    </row>
    <row r="8" spans="1:13" ht="14.65" customHeight="1" x14ac:dyDescent="0.25">
      <c r="A8" s="114"/>
      <c r="B8" s="58"/>
      <c r="C8" s="118" t="s">
        <v>107</v>
      </c>
      <c r="D8" s="117"/>
      <c r="E8" s="117"/>
      <c r="F8" s="117"/>
      <c r="G8" s="117"/>
      <c r="H8" s="117"/>
      <c r="I8" s="117"/>
      <c r="J8" s="116"/>
    </row>
    <row r="9" spans="1:13" ht="14.65" customHeight="1" x14ac:dyDescent="0.25">
      <c r="A9" s="114"/>
      <c r="B9" s="58"/>
      <c r="C9" s="117"/>
      <c r="D9" s="117"/>
      <c r="E9" s="117"/>
      <c r="F9" s="117"/>
      <c r="G9" s="117"/>
      <c r="H9" s="117"/>
      <c r="I9" s="117"/>
      <c r="J9" s="116"/>
    </row>
    <row r="10" spans="1:13" ht="14.65" customHeight="1" x14ac:dyDescent="0.25">
      <c r="A10" s="114"/>
      <c r="B10" s="58"/>
      <c r="C10" s="117" t="s">
        <v>83</v>
      </c>
      <c r="D10" s="117"/>
      <c r="E10" s="117"/>
      <c r="F10" s="117"/>
      <c r="G10" s="117"/>
      <c r="H10" s="117"/>
      <c r="I10" s="117"/>
      <c r="J10" s="116"/>
    </row>
    <row r="11" spans="1:13" ht="14.65" customHeight="1" x14ac:dyDescent="0.25">
      <c r="A11" s="114"/>
      <c r="B11" s="58"/>
      <c r="C11" s="120" t="s">
        <v>108</v>
      </c>
      <c r="D11" s="121"/>
      <c r="E11" s="121"/>
      <c r="F11" s="121"/>
      <c r="G11" s="120">
        <v>0.5</v>
      </c>
      <c r="H11" s="121">
        <v>1.5</v>
      </c>
      <c r="I11" s="122">
        <v>2.5</v>
      </c>
      <c r="J11" s="116"/>
    </row>
    <row r="12" spans="1:13" ht="14.65" customHeight="1" x14ac:dyDescent="0.25">
      <c r="A12" s="114"/>
      <c r="B12" s="58"/>
      <c r="C12" s="123" t="s">
        <v>109</v>
      </c>
      <c r="D12" s="117"/>
      <c r="E12" s="117"/>
      <c r="F12" s="117"/>
      <c r="G12" s="150">
        <v>1.4999999999999999E-2</v>
      </c>
      <c r="H12" s="151">
        <v>1.7999999999999999E-2</v>
      </c>
      <c r="I12" s="152">
        <v>1.9E-2</v>
      </c>
      <c r="J12" s="116"/>
    </row>
    <row r="13" spans="1:13" ht="14.65" customHeight="1" x14ac:dyDescent="0.25">
      <c r="A13" s="114"/>
      <c r="B13" s="58"/>
      <c r="C13" s="123" t="s">
        <v>110</v>
      </c>
      <c r="D13" s="153"/>
      <c r="E13" s="154"/>
      <c r="F13" s="154"/>
      <c r="G13" s="150">
        <v>2.1999999999999999E-2</v>
      </c>
      <c r="H13" s="151">
        <v>2.5000000000000001E-2</v>
      </c>
      <c r="I13" s="152">
        <v>2.8000000000000001E-2</v>
      </c>
      <c r="J13" s="116"/>
    </row>
    <row r="14" spans="1:13" ht="31.5" customHeight="1" x14ac:dyDescent="0.25">
      <c r="A14" s="114"/>
      <c r="B14" s="58"/>
      <c r="C14" s="696" t="s">
        <v>111</v>
      </c>
      <c r="D14" s="697"/>
      <c r="E14" s="697"/>
      <c r="F14" s="698"/>
      <c r="G14" s="155">
        <v>3.0000000000000001E-3</v>
      </c>
      <c r="H14" s="156">
        <v>3.0000000000000001E-3</v>
      </c>
      <c r="I14" s="157">
        <v>5.0000000000000001E-3</v>
      </c>
      <c r="J14" s="116"/>
      <c r="K14" s="130"/>
    </row>
    <row r="15" spans="1:13" ht="14.65" customHeight="1" x14ac:dyDescent="0.25">
      <c r="A15" s="114"/>
      <c r="B15" s="58"/>
      <c r="C15" s="117"/>
      <c r="D15" s="117"/>
      <c r="E15" s="117"/>
      <c r="F15" s="117"/>
      <c r="G15" s="117"/>
      <c r="H15" s="117"/>
      <c r="I15" s="117"/>
      <c r="J15" s="116"/>
    </row>
    <row r="16" spans="1:13" ht="14.65" customHeight="1" x14ac:dyDescent="0.25">
      <c r="A16" s="137" t="s">
        <v>13</v>
      </c>
      <c r="B16" s="58" t="s">
        <v>87</v>
      </c>
      <c r="C16" s="115" t="s">
        <v>112</v>
      </c>
      <c r="D16" s="115"/>
      <c r="E16" s="115"/>
      <c r="F16" s="115"/>
      <c r="G16" s="115"/>
      <c r="H16" s="115"/>
      <c r="I16" s="115"/>
      <c r="J16" s="116"/>
    </row>
    <row r="17" spans="1:11" ht="14.65" customHeight="1" x14ac:dyDescent="0.25">
      <c r="A17" s="137"/>
      <c r="B17" s="58"/>
      <c r="C17" s="115"/>
      <c r="D17" s="115"/>
      <c r="E17" s="115"/>
      <c r="F17" s="115"/>
      <c r="G17" s="115"/>
      <c r="H17" s="115"/>
      <c r="I17" s="115"/>
      <c r="J17" s="116"/>
    </row>
    <row r="18" spans="1:11" ht="14.65" customHeight="1" x14ac:dyDescent="0.25">
      <c r="A18" s="137" t="s">
        <v>27</v>
      </c>
      <c r="B18" s="58" t="s">
        <v>0</v>
      </c>
      <c r="C18" s="115" t="s">
        <v>113</v>
      </c>
      <c r="D18" s="115"/>
      <c r="E18" s="115"/>
      <c r="F18" s="115"/>
      <c r="G18" s="115"/>
      <c r="H18" s="115"/>
      <c r="I18" s="115"/>
      <c r="J18" s="116"/>
    </row>
    <row r="19" spans="1:11" ht="14.65" customHeight="1" thickBot="1" x14ac:dyDescent="0.3">
      <c r="A19" s="138"/>
      <c r="B19" s="139"/>
      <c r="C19" s="140"/>
      <c r="D19" s="141"/>
      <c r="E19" s="141"/>
      <c r="F19" s="141"/>
      <c r="G19" s="141"/>
      <c r="H19" s="141"/>
      <c r="I19" s="141"/>
      <c r="J19" s="142"/>
    </row>
    <row r="20" spans="1:11" ht="14.65" customHeight="1" thickBot="1" x14ac:dyDescent="0.3">
      <c r="A20" s="143" t="s">
        <v>12</v>
      </c>
      <c r="B20" s="144"/>
      <c r="C20" s="144"/>
      <c r="D20" s="144"/>
      <c r="E20" s="144"/>
      <c r="F20" s="145"/>
      <c r="G20" s="146"/>
      <c r="H20" s="146"/>
      <c r="I20" s="146"/>
      <c r="J20" s="147"/>
      <c r="K20"/>
    </row>
    <row r="21" spans="1:11" ht="14.65" customHeight="1" x14ac:dyDescent="0.25"/>
    <row r="22" spans="1:11" ht="14.65" customHeight="1" x14ac:dyDescent="0.25">
      <c r="A22" s="57">
        <v>1.25</v>
      </c>
      <c r="C22" s="57" t="s">
        <v>89</v>
      </c>
      <c r="D22" s="57" t="s">
        <v>114</v>
      </c>
    </row>
    <row r="23" spans="1:11" ht="14.65" customHeight="1" x14ac:dyDescent="0.25">
      <c r="C23" s="57" t="s">
        <v>115</v>
      </c>
      <c r="E23" s="57">
        <f>G11</f>
        <v>0.5</v>
      </c>
      <c r="F23" s="57">
        <f>H11</f>
        <v>1.5</v>
      </c>
      <c r="G23" s="57">
        <f>I11</f>
        <v>2.5</v>
      </c>
    </row>
    <row r="24" spans="1:11" ht="14.65" customHeight="1" x14ac:dyDescent="0.25">
      <c r="A24" s="57">
        <v>0.25</v>
      </c>
      <c r="C24" s="57" t="s">
        <v>116</v>
      </c>
      <c r="E24" s="158">
        <v>200000</v>
      </c>
      <c r="F24" s="148">
        <f>E24</f>
        <v>200000</v>
      </c>
      <c r="G24" s="148">
        <f>F24</f>
        <v>200000</v>
      </c>
    </row>
    <row r="25" spans="1:11" ht="14.65" customHeight="1" x14ac:dyDescent="0.25">
      <c r="A25" s="57">
        <v>0.25</v>
      </c>
      <c r="C25" s="57" t="s">
        <v>85</v>
      </c>
      <c r="E25" s="159">
        <f>G13-G14</f>
        <v>1.9E-2</v>
      </c>
      <c r="F25" s="159">
        <f>H13-H14</f>
        <v>2.2000000000000002E-2</v>
      </c>
      <c r="G25" s="159">
        <f>I13-I14</f>
        <v>2.3E-2</v>
      </c>
      <c r="H25" s="57" t="s">
        <v>117</v>
      </c>
    </row>
    <row r="26" spans="1:11" ht="14.65" customHeight="1" x14ac:dyDescent="0.25">
      <c r="A26" s="57">
        <v>0.25</v>
      </c>
      <c r="C26" s="57" t="s">
        <v>118</v>
      </c>
      <c r="E26" s="160">
        <f>E24/(1+E25)^E23</f>
        <v>198126.65331964497</v>
      </c>
      <c r="F26" s="160">
        <f>F24/(1+F25)^F23</f>
        <v>193576.95407263469</v>
      </c>
      <c r="G26" s="160">
        <f>G24/(1+G25)^G23</f>
        <v>188947.39616012105</v>
      </c>
    </row>
    <row r="27" spans="1:11" ht="14.65" customHeight="1" x14ac:dyDescent="0.25"/>
    <row r="28" spans="1:11" ht="14.65" customHeight="1" x14ac:dyDescent="0.25">
      <c r="C28" s="57" t="s">
        <v>119</v>
      </c>
      <c r="E28" s="161">
        <f>SUM(E26:G26)</f>
        <v>580651.00355240074</v>
      </c>
      <c r="F28" s="162"/>
    </row>
    <row r="29" spans="1:11" ht="14.65" customHeight="1" x14ac:dyDescent="0.25">
      <c r="C29" s="57" t="s">
        <v>120</v>
      </c>
      <c r="E29" s="163">
        <v>0.04</v>
      </c>
      <c r="F29" s="162"/>
    </row>
    <row r="30" spans="1:11" ht="14.65" customHeight="1" x14ac:dyDescent="0.25">
      <c r="A30" s="57">
        <v>0.25</v>
      </c>
      <c r="C30" s="57" t="s">
        <v>102</v>
      </c>
      <c r="E30" s="161">
        <f>E28*E29</f>
        <v>23226.04014209603</v>
      </c>
      <c r="F30" s="162"/>
    </row>
    <row r="31" spans="1:11" ht="14.65" customHeight="1" x14ac:dyDescent="0.25">
      <c r="A31" s="57">
        <v>0.25</v>
      </c>
      <c r="C31" s="57" t="s">
        <v>20</v>
      </c>
      <c r="E31" s="161">
        <f>SUM(E28:E30)</f>
        <v>603877.08369449677</v>
      </c>
    </row>
    <row r="32" spans="1:11" ht="14.65" customHeight="1" x14ac:dyDescent="0.25"/>
    <row r="33" spans="1:4" ht="14.65" customHeight="1" x14ac:dyDescent="0.25">
      <c r="A33" s="57">
        <v>0.75</v>
      </c>
      <c r="C33" s="57" t="s">
        <v>93</v>
      </c>
      <c r="D33" s="57" t="s">
        <v>121</v>
      </c>
    </row>
    <row r="34" spans="1:4" ht="14.65" customHeight="1" x14ac:dyDescent="0.25"/>
    <row r="35" spans="1:4" ht="14.65" customHeight="1" x14ac:dyDescent="0.25">
      <c r="C35" s="57" t="s">
        <v>122</v>
      </c>
    </row>
    <row r="36" spans="1:4" ht="14.65" customHeight="1" x14ac:dyDescent="0.25">
      <c r="C36" s="57" t="s">
        <v>123</v>
      </c>
    </row>
    <row r="37" spans="1:4" ht="14.65" customHeight="1" x14ac:dyDescent="0.25">
      <c r="C37" s="57" t="s">
        <v>124</v>
      </c>
    </row>
    <row r="38" spans="1:4" ht="14.65" customHeight="1" x14ac:dyDescent="0.25">
      <c r="C38" s="57" t="s">
        <v>125</v>
      </c>
    </row>
    <row r="39" spans="1:4" ht="14.65" customHeight="1" x14ac:dyDescent="0.25">
      <c r="C39" s="57" t="s">
        <v>126</v>
      </c>
    </row>
    <row r="40" spans="1:4" ht="14.65" customHeight="1" x14ac:dyDescent="0.25">
      <c r="C40" s="57" t="s">
        <v>127</v>
      </c>
    </row>
    <row r="41" spans="1:4" ht="14.65" customHeight="1" x14ac:dyDescent="0.25">
      <c r="C41" s="57" t="s">
        <v>128</v>
      </c>
    </row>
    <row r="42" spans="1:4" ht="14.65" customHeight="1" x14ac:dyDescent="0.25">
      <c r="C42" s="57" t="s">
        <v>129</v>
      </c>
    </row>
    <row r="43" spans="1:4" ht="14.65" customHeight="1" x14ac:dyDescent="0.25"/>
    <row r="44" spans="1:4" ht="14.65" customHeight="1" x14ac:dyDescent="0.25"/>
    <row r="45" spans="1:4" ht="14.65" customHeight="1" x14ac:dyDescent="0.25"/>
    <row r="46" spans="1:4" ht="14.65" customHeight="1" x14ac:dyDescent="0.25"/>
    <row r="47" spans="1:4" ht="14.65" customHeight="1" x14ac:dyDescent="0.25"/>
    <row r="48" spans="1:4" ht="14.65" customHeight="1" x14ac:dyDescent="0.25"/>
    <row r="49" ht="14.65" customHeight="1" x14ac:dyDescent="0.25"/>
    <row r="50" ht="14.65" customHeight="1" x14ac:dyDescent="0.25"/>
    <row r="51" ht="14.65" customHeight="1" x14ac:dyDescent="0.25"/>
    <row r="52"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58" ht="14.65" customHeight="1" x14ac:dyDescent="0.25"/>
    <row r="59" ht="14.65" customHeight="1" x14ac:dyDescent="0.25"/>
    <row r="60" ht="14.65" customHeight="1" x14ac:dyDescent="0.25"/>
    <row r="61" ht="14.65" customHeight="1" x14ac:dyDescent="0.25"/>
    <row r="62" ht="14.65" customHeight="1" x14ac:dyDescent="0.25"/>
    <row r="63" ht="14.65" customHeight="1" x14ac:dyDescent="0.25"/>
    <row r="64" ht="14.65" customHeight="1" x14ac:dyDescent="0.25"/>
    <row r="65" ht="14.65" customHeight="1" x14ac:dyDescent="0.25"/>
    <row r="66" ht="14.65" customHeight="1" x14ac:dyDescent="0.25"/>
    <row r="67" ht="14.65" customHeight="1" x14ac:dyDescent="0.25"/>
    <row r="68" ht="14.65" customHeight="1" x14ac:dyDescent="0.25"/>
    <row r="69" ht="14.65" customHeight="1" x14ac:dyDescent="0.25"/>
    <row r="70"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ht="14.65" customHeight="1" x14ac:dyDescent="0.25"/>
    <row r="82" ht="14.65" customHeight="1" x14ac:dyDescent="0.25"/>
    <row r="83" ht="14.65" customHeight="1" x14ac:dyDescent="0.25"/>
    <row r="84" ht="14.65" customHeight="1" x14ac:dyDescent="0.25"/>
    <row r="85" ht="14.65" customHeight="1" x14ac:dyDescent="0.25"/>
    <row r="86" ht="14.65" customHeight="1" x14ac:dyDescent="0.25"/>
    <row r="87" ht="14.65" customHeight="1" x14ac:dyDescent="0.25"/>
    <row r="88" ht="14.65" customHeight="1" x14ac:dyDescent="0.25"/>
    <row r="89" ht="14.65" customHeight="1" x14ac:dyDescent="0.25"/>
    <row r="90" ht="14.65" customHeight="1" x14ac:dyDescent="0.25"/>
    <row r="91" ht="14.65" customHeight="1" x14ac:dyDescent="0.25"/>
    <row r="92" ht="14.65" customHeight="1" x14ac:dyDescent="0.25"/>
    <row r="93" ht="14.65" customHeight="1" x14ac:dyDescent="0.25"/>
    <row r="94" ht="14.65" customHeight="1" x14ac:dyDescent="0.25"/>
    <row r="95" ht="14.65" customHeight="1" x14ac:dyDescent="0.25"/>
    <row r="96" ht="14.65" customHeight="1" x14ac:dyDescent="0.25"/>
    <row r="97" ht="14.65" customHeight="1" x14ac:dyDescent="0.25"/>
    <row r="98" ht="14.65" customHeight="1" x14ac:dyDescent="0.25"/>
    <row r="99" ht="14.65" customHeight="1" x14ac:dyDescent="0.25"/>
    <row r="100" ht="14.65" customHeight="1" x14ac:dyDescent="0.25"/>
    <row r="101" ht="14.65" customHeight="1" x14ac:dyDescent="0.25"/>
    <row r="102" ht="14.65" customHeight="1" x14ac:dyDescent="0.25"/>
    <row r="103" ht="14.65" customHeight="1" x14ac:dyDescent="0.25"/>
    <row r="104" ht="14.65" customHeight="1" x14ac:dyDescent="0.25"/>
    <row r="105" ht="14.65" customHeight="1" x14ac:dyDescent="0.25"/>
    <row r="106" ht="14.65" customHeight="1" x14ac:dyDescent="0.25"/>
    <row r="107" ht="14.65" customHeight="1" x14ac:dyDescent="0.25"/>
    <row r="108" ht="14.65" customHeight="1" x14ac:dyDescent="0.25"/>
    <row r="109" ht="14.65" customHeight="1" x14ac:dyDescent="0.25"/>
    <row r="110" ht="14.65" customHeight="1" x14ac:dyDescent="0.25"/>
    <row r="111" ht="14.65" customHeight="1" x14ac:dyDescent="0.25"/>
    <row r="112" ht="14.65" customHeight="1" x14ac:dyDescent="0.25"/>
    <row r="113" ht="14.65" customHeight="1" x14ac:dyDescent="0.25"/>
    <row r="114" ht="14.65" customHeight="1" x14ac:dyDescent="0.25"/>
    <row r="115" ht="14.65" customHeight="1" x14ac:dyDescent="0.25"/>
    <row r="116" ht="14.65" customHeight="1" x14ac:dyDescent="0.25"/>
    <row r="117" ht="14.65" customHeight="1" x14ac:dyDescent="0.25"/>
    <row r="118" ht="14.65" customHeight="1" x14ac:dyDescent="0.25"/>
    <row r="119" ht="14.65" customHeight="1" x14ac:dyDescent="0.25"/>
    <row r="120" ht="14.65" customHeight="1" x14ac:dyDescent="0.25"/>
    <row r="121" ht="14.65" customHeight="1" x14ac:dyDescent="0.25"/>
    <row r="122" ht="14.65" customHeight="1" x14ac:dyDescent="0.25"/>
    <row r="123" ht="14.65" customHeight="1" x14ac:dyDescent="0.25"/>
    <row r="124" ht="14.65" customHeight="1" x14ac:dyDescent="0.25"/>
    <row r="125" ht="14.65" customHeight="1" x14ac:dyDescent="0.25"/>
    <row r="126" ht="14.65" customHeight="1" x14ac:dyDescent="0.25"/>
    <row r="127" ht="14.65" customHeight="1" x14ac:dyDescent="0.25"/>
    <row r="128" ht="14.65" customHeight="1" x14ac:dyDescent="0.25"/>
    <row r="129" ht="14.65" customHeight="1" x14ac:dyDescent="0.25"/>
    <row r="130" ht="14.65" customHeight="1" x14ac:dyDescent="0.25"/>
    <row r="131" ht="14.65" customHeight="1" x14ac:dyDescent="0.25"/>
    <row r="132" ht="14.65" customHeight="1" x14ac:dyDescent="0.25"/>
    <row r="133" ht="14.65" customHeight="1" x14ac:dyDescent="0.25"/>
    <row r="134" ht="14.65" customHeight="1" x14ac:dyDescent="0.25"/>
    <row r="135" ht="14.65" customHeight="1" x14ac:dyDescent="0.25"/>
    <row r="136" ht="14.65" customHeight="1" x14ac:dyDescent="0.25"/>
    <row r="137" ht="14.65" customHeight="1" x14ac:dyDescent="0.25"/>
    <row r="138" ht="14.65" customHeight="1" x14ac:dyDescent="0.25"/>
    <row r="139" ht="14.65" customHeight="1" x14ac:dyDescent="0.25"/>
    <row r="140" ht="14.65" customHeight="1" x14ac:dyDescent="0.25"/>
    <row r="141" ht="14.65" customHeight="1" x14ac:dyDescent="0.25"/>
    <row r="142" ht="14.65" customHeight="1" x14ac:dyDescent="0.25"/>
    <row r="143" ht="14.65" customHeight="1" x14ac:dyDescent="0.25"/>
    <row r="144" ht="14.65" customHeight="1" x14ac:dyDescent="0.25"/>
    <row r="145" ht="14.65" customHeight="1" x14ac:dyDescent="0.25"/>
    <row r="146" ht="14.65" customHeight="1" x14ac:dyDescent="0.25"/>
    <row r="147" ht="14.65" customHeight="1" x14ac:dyDescent="0.25"/>
    <row r="148" ht="14.65" customHeight="1" x14ac:dyDescent="0.25"/>
    <row r="149" ht="14.65" customHeight="1" x14ac:dyDescent="0.25"/>
    <row r="150" ht="14.65" customHeight="1" x14ac:dyDescent="0.25"/>
    <row r="151" ht="14.65" customHeight="1" x14ac:dyDescent="0.25"/>
    <row r="152" ht="14.65" customHeight="1" x14ac:dyDescent="0.25"/>
    <row r="153" ht="14.65" customHeight="1" x14ac:dyDescent="0.25"/>
    <row r="154" ht="14.65" customHeight="1" x14ac:dyDescent="0.25"/>
    <row r="155" ht="14.65" customHeight="1" x14ac:dyDescent="0.25"/>
    <row r="156" ht="14.65" customHeight="1" x14ac:dyDescent="0.25"/>
    <row r="157" ht="14.65" customHeight="1" x14ac:dyDescent="0.25"/>
    <row r="158" ht="14.65" customHeight="1" x14ac:dyDescent="0.25"/>
    <row r="159" ht="14.65" customHeight="1" x14ac:dyDescent="0.25"/>
    <row r="160" ht="14.65" customHeight="1" x14ac:dyDescent="0.25"/>
    <row r="161" ht="14.65" customHeight="1" x14ac:dyDescent="0.25"/>
    <row r="162" ht="14.65" customHeight="1" x14ac:dyDescent="0.25"/>
    <row r="163" ht="14.65" customHeight="1" x14ac:dyDescent="0.25"/>
    <row r="164" ht="14.65" customHeight="1" x14ac:dyDescent="0.25"/>
    <row r="165" ht="14.65" customHeight="1" x14ac:dyDescent="0.25"/>
    <row r="166" ht="14.65" customHeight="1" x14ac:dyDescent="0.25"/>
    <row r="167" ht="14.6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3" ht="14.65" customHeight="1" x14ac:dyDescent="0.25"/>
  </sheetData>
  <sheetProtection formatCells="0" formatColumns="0" formatRows="0"/>
  <mergeCells count="1">
    <mergeCell ref="C14:F14"/>
  </mergeCells>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82"/>
  <sheetViews>
    <sheetView showGridLines="0" topLeftCell="A18" zoomScaleNormal="100" zoomScaleSheetLayoutView="80" workbookViewId="0"/>
  </sheetViews>
  <sheetFormatPr defaultColWidth="0" defaultRowHeight="15" zeroHeight="1" x14ac:dyDescent="0.25"/>
  <cols>
    <col min="1" max="1" width="7.7109375" style="79" customWidth="1"/>
    <col min="2" max="2" width="10.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x14ac:dyDescent="0.25">
      <c r="A1" s="6"/>
      <c r="B1" s="7" t="s">
        <v>130</v>
      </c>
      <c r="C1" s="8"/>
      <c r="D1" s="8"/>
      <c r="E1" s="8"/>
      <c r="F1" s="8"/>
      <c r="G1" s="8"/>
      <c r="H1" s="8"/>
      <c r="I1" s="8"/>
      <c r="J1" s="8"/>
      <c r="K1" s="8"/>
      <c r="L1" s="8"/>
      <c r="M1" s="78"/>
    </row>
    <row r="2" spans="1:13" x14ac:dyDescent="0.25">
      <c r="A2" s="9"/>
      <c r="B2" s="10"/>
      <c r="C2" s="8"/>
      <c r="D2" s="8"/>
      <c r="E2" s="8"/>
      <c r="F2" s="8"/>
      <c r="G2" s="8"/>
      <c r="H2" s="8"/>
      <c r="I2" s="8"/>
      <c r="J2" s="8"/>
      <c r="K2" s="8"/>
      <c r="L2" s="8"/>
      <c r="M2" s="78"/>
    </row>
    <row r="3" spans="1:13" x14ac:dyDescent="0.25">
      <c r="A3" s="10" t="s">
        <v>89</v>
      </c>
      <c r="B3" s="11" t="s">
        <v>28</v>
      </c>
      <c r="C3" s="80" t="s">
        <v>131</v>
      </c>
      <c r="D3" s="31"/>
      <c r="E3" s="31"/>
      <c r="F3" s="31"/>
      <c r="G3" s="12"/>
      <c r="H3" s="12"/>
      <c r="I3" s="12"/>
      <c r="J3" s="12"/>
      <c r="K3" s="12"/>
      <c r="L3" s="12"/>
      <c r="M3" s="78"/>
    </row>
    <row r="4" spans="1:13" x14ac:dyDescent="0.25">
      <c r="A4" s="14"/>
      <c r="B4" s="32"/>
      <c r="C4" s="33"/>
      <c r="D4" s="31"/>
      <c r="E4" s="31"/>
      <c r="F4" s="31"/>
      <c r="G4" s="13"/>
      <c r="H4" s="13"/>
      <c r="I4" s="13"/>
      <c r="J4" s="13"/>
      <c r="K4" s="13"/>
      <c r="L4" s="13"/>
      <c r="M4" s="78"/>
    </row>
    <row r="5" spans="1:13" x14ac:dyDescent="0.25">
      <c r="A5" s="10" t="s">
        <v>27</v>
      </c>
      <c r="B5" s="11" t="s">
        <v>28</v>
      </c>
      <c r="C5" s="81" t="s">
        <v>132</v>
      </c>
      <c r="D5" s="12"/>
      <c r="E5" s="12"/>
      <c r="F5" s="12"/>
      <c r="G5" s="13"/>
      <c r="H5" s="13"/>
      <c r="I5" s="13"/>
      <c r="J5" s="13"/>
      <c r="K5" s="13"/>
      <c r="L5" s="13"/>
      <c r="M5" s="78"/>
    </row>
    <row r="6" spans="1:13" x14ac:dyDescent="0.25">
      <c r="A6" s="14"/>
      <c r="B6" s="15"/>
      <c r="C6" s="34"/>
      <c r="D6" s="16"/>
      <c r="E6" s="16"/>
      <c r="F6" s="16"/>
      <c r="G6" s="13"/>
      <c r="H6" s="13"/>
      <c r="I6" s="13"/>
      <c r="J6" s="13"/>
      <c r="K6" s="13"/>
      <c r="L6" s="13"/>
      <c r="M6" s="78"/>
    </row>
    <row r="7" spans="1:13" x14ac:dyDescent="0.25">
      <c r="A7" s="14" t="s">
        <v>133</v>
      </c>
      <c r="B7" s="11" t="s">
        <v>28</v>
      </c>
      <c r="C7" s="81" t="s">
        <v>134</v>
      </c>
      <c r="D7" s="16"/>
      <c r="E7" s="16"/>
      <c r="F7" s="16"/>
      <c r="G7" s="13"/>
      <c r="H7" s="13"/>
      <c r="I7" s="13"/>
      <c r="J7" s="13"/>
      <c r="K7" s="13"/>
      <c r="L7" s="13"/>
      <c r="M7" s="78"/>
    </row>
    <row r="8" spans="1:13" x14ac:dyDescent="0.25">
      <c r="A8" s="14"/>
      <c r="B8" s="11"/>
      <c r="C8" s="81" t="s">
        <v>135</v>
      </c>
      <c r="D8" s="16"/>
      <c r="E8" s="16"/>
      <c r="F8" s="16"/>
      <c r="G8" s="13"/>
      <c r="H8" s="13"/>
      <c r="I8" s="13"/>
      <c r="J8" s="13"/>
      <c r="K8" s="13"/>
      <c r="L8" s="13"/>
      <c r="M8" s="78"/>
    </row>
    <row r="9" spans="1:13" ht="24" customHeight="1" x14ac:dyDescent="0.25">
      <c r="A9" s="14"/>
      <c r="B9" s="15"/>
      <c r="C9" s="11" t="s">
        <v>136</v>
      </c>
      <c r="D9" s="16"/>
      <c r="E9" s="16"/>
      <c r="F9" s="16"/>
      <c r="G9" s="13"/>
      <c r="H9" s="13"/>
      <c r="I9" s="13"/>
      <c r="J9" s="13"/>
      <c r="K9" s="13"/>
      <c r="L9" s="13"/>
      <c r="M9" s="78"/>
    </row>
    <row r="10" spans="1:13" ht="15.75" thickBot="1" x14ac:dyDescent="0.3">
      <c r="A10" s="14"/>
      <c r="B10" s="15"/>
      <c r="C10" s="11"/>
      <c r="D10" s="16"/>
      <c r="E10" s="16"/>
      <c r="F10" s="16"/>
      <c r="G10" s="13"/>
      <c r="H10" s="13"/>
      <c r="I10" s="13"/>
      <c r="J10" s="13"/>
      <c r="K10" s="13"/>
      <c r="L10" s="13"/>
      <c r="M10" s="78"/>
    </row>
    <row r="11" spans="1:13" ht="15.75" thickBot="1" x14ac:dyDescent="0.3">
      <c r="A11" s="3" t="s">
        <v>137</v>
      </c>
      <c r="B11" s="17"/>
      <c r="C11" s="4"/>
      <c r="D11" s="4"/>
      <c r="E11" s="4"/>
      <c r="F11" s="4"/>
      <c r="G11" s="18"/>
      <c r="H11" s="18"/>
      <c r="I11" s="18"/>
      <c r="J11" s="18"/>
      <c r="K11" s="18"/>
      <c r="L11" s="18"/>
      <c r="M11" s="82"/>
    </row>
    <row r="12" spans="1:13" x14ac:dyDescent="0.25">
      <c r="A12" s="19"/>
      <c r="B12" s="29"/>
      <c r="C12" s="92"/>
      <c r="D12" s="92"/>
      <c r="E12" s="20"/>
      <c r="F12" s="20"/>
      <c r="G12" s="20"/>
    </row>
    <row r="13" spans="1:13" x14ac:dyDescent="0.25">
      <c r="A13" s="107">
        <v>1</v>
      </c>
      <c r="B13" s="21" t="s">
        <v>13</v>
      </c>
      <c r="C13" s="28" t="s">
        <v>138</v>
      </c>
      <c r="D13" s="28"/>
      <c r="E13" s="20"/>
      <c r="F13" s="20"/>
      <c r="G13" s="20"/>
    </row>
    <row r="14" spans="1:13" x14ac:dyDescent="0.25">
      <c r="A14" s="107"/>
      <c r="B14" s="21"/>
      <c r="C14" s="108" t="s">
        <v>139</v>
      </c>
      <c r="D14" s="28"/>
      <c r="E14" s="20"/>
      <c r="F14" s="20"/>
      <c r="G14" s="20"/>
    </row>
    <row r="15" spans="1:13" x14ac:dyDescent="0.25">
      <c r="A15" s="107">
        <v>0.5</v>
      </c>
      <c r="B15" s="23"/>
      <c r="C15" s="109" t="s">
        <v>140</v>
      </c>
      <c r="D15" s="28"/>
      <c r="E15" s="22"/>
      <c r="F15" s="22"/>
      <c r="G15" s="22"/>
    </row>
    <row r="16" spans="1:13" x14ac:dyDescent="0.25">
      <c r="A16" s="107">
        <v>0.5</v>
      </c>
      <c r="B16" s="21"/>
      <c r="C16" s="109" t="s">
        <v>141</v>
      </c>
      <c r="D16" s="28"/>
      <c r="E16" s="22"/>
      <c r="F16" s="22"/>
      <c r="G16" s="22"/>
    </row>
    <row r="17" spans="1:9" x14ac:dyDescent="0.25">
      <c r="A17" s="107"/>
      <c r="B17" s="21"/>
      <c r="C17" s="110" t="s">
        <v>142</v>
      </c>
      <c r="D17" s="28"/>
      <c r="E17" s="22"/>
      <c r="F17" s="22"/>
      <c r="G17" s="22"/>
    </row>
    <row r="18" spans="1:9" x14ac:dyDescent="0.25">
      <c r="A18" s="107"/>
      <c r="B18" s="21"/>
      <c r="C18" s="22"/>
      <c r="D18" s="28"/>
      <c r="E18" s="22"/>
      <c r="F18" s="22"/>
      <c r="G18" s="22"/>
    </row>
    <row r="19" spans="1:9" x14ac:dyDescent="0.25">
      <c r="A19" s="107">
        <v>1</v>
      </c>
      <c r="B19" s="21" t="s">
        <v>27</v>
      </c>
      <c r="C19" s="28" t="s">
        <v>143</v>
      </c>
      <c r="D19" s="28"/>
      <c r="E19" s="22"/>
      <c r="F19" s="22"/>
      <c r="G19" s="22"/>
    </row>
    <row r="20" spans="1:9" x14ac:dyDescent="0.25">
      <c r="A20" s="107">
        <v>0.25</v>
      </c>
      <c r="B20" s="23"/>
      <c r="C20" s="28" t="s">
        <v>144</v>
      </c>
      <c r="D20" s="28"/>
      <c r="E20" s="22"/>
      <c r="F20" s="22"/>
      <c r="G20" s="22"/>
    </row>
    <row r="21" spans="1:9" x14ac:dyDescent="0.25">
      <c r="A21" s="107">
        <v>0.25</v>
      </c>
      <c r="B21" s="21"/>
      <c r="C21" s="28" t="s">
        <v>145</v>
      </c>
      <c r="D21" s="28"/>
    </row>
    <row r="22" spans="1:9" x14ac:dyDescent="0.25">
      <c r="A22" s="107">
        <v>0.25</v>
      </c>
      <c r="B22" s="21"/>
      <c r="C22" s="28" t="s">
        <v>95</v>
      </c>
      <c r="D22" s="28"/>
      <c r="F22" s="22"/>
      <c r="G22" s="22"/>
    </row>
    <row r="23" spans="1:9" x14ac:dyDescent="0.25">
      <c r="A23" s="107">
        <v>0.25</v>
      </c>
      <c r="B23" s="21"/>
      <c r="C23" s="24" t="s">
        <v>146</v>
      </c>
      <c r="D23" s="28"/>
      <c r="E23" s="22"/>
      <c r="F23" s="22"/>
      <c r="G23" s="22"/>
    </row>
    <row r="24" spans="1:9" x14ac:dyDescent="0.25">
      <c r="A24" s="107"/>
      <c r="B24" s="21"/>
      <c r="C24" s="94"/>
      <c r="D24" s="28"/>
      <c r="E24" s="22"/>
      <c r="F24" s="22"/>
      <c r="G24" s="25"/>
      <c r="H24" s="25"/>
      <c r="I24" s="26"/>
    </row>
    <row r="25" spans="1:9" x14ac:dyDescent="0.25">
      <c r="A25" s="107">
        <v>1</v>
      </c>
      <c r="B25" s="21" t="s">
        <v>133</v>
      </c>
      <c r="C25" s="28" t="s">
        <v>147</v>
      </c>
      <c r="D25" s="28"/>
      <c r="E25" s="22"/>
      <c r="F25" s="22"/>
      <c r="G25" s="25"/>
      <c r="H25" s="25"/>
      <c r="I25" s="26"/>
    </row>
    <row r="26" spans="1:9" x14ac:dyDescent="0.25">
      <c r="A26" s="107"/>
      <c r="B26" s="29"/>
      <c r="C26" s="108" t="s">
        <v>148</v>
      </c>
      <c r="D26" s="28"/>
      <c r="G26" s="25"/>
      <c r="H26" s="25"/>
      <c r="I26" s="26"/>
    </row>
    <row r="27" spans="1:9" x14ac:dyDescent="0.25">
      <c r="A27" s="107">
        <v>0.5</v>
      </c>
      <c r="B27" s="29"/>
      <c r="C27" s="109" t="s">
        <v>149</v>
      </c>
      <c r="D27" s="28"/>
      <c r="G27" s="27"/>
      <c r="H27" s="25"/>
      <c r="I27" s="27"/>
    </row>
    <row r="28" spans="1:9" x14ac:dyDescent="0.25">
      <c r="A28" s="107">
        <v>0.5</v>
      </c>
      <c r="B28" s="29"/>
      <c r="C28" s="111" t="s">
        <v>150</v>
      </c>
      <c r="D28" s="28"/>
    </row>
    <row r="29" spans="1:9" x14ac:dyDescent="0.25">
      <c r="A29" s="28"/>
      <c r="B29" s="28"/>
      <c r="C29" s="28"/>
      <c r="D29" s="28"/>
      <c r="G29" s="25"/>
      <c r="H29" s="25"/>
      <c r="I29" s="26"/>
    </row>
    <row r="30" spans="1:9" x14ac:dyDescent="0.25">
      <c r="B30" s="79"/>
      <c r="G30" s="25"/>
      <c r="H30" s="25"/>
      <c r="I30" s="26"/>
    </row>
    <row r="31" spans="1:9" x14ac:dyDescent="0.25">
      <c r="B31" s="79"/>
      <c r="G31" s="25"/>
      <c r="H31" s="25"/>
      <c r="I31" s="26"/>
    </row>
    <row r="32" spans="1:9" x14ac:dyDescent="0.25">
      <c r="B32" s="112"/>
      <c r="G32" s="25"/>
      <c r="H32" s="25"/>
      <c r="I32" s="26"/>
    </row>
    <row r="33" spans="3:9" x14ac:dyDescent="0.25">
      <c r="G33" s="25"/>
      <c r="H33" s="25"/>
      <c r="I33" s="26"/>
    </row>
    <row r="34" spans="3:9" x14ac:dyDescent="0.25">
      <c r="G34" s="25"/>
      <c r="H34" s="25"/>
      <c r="I34" s="26"/>
    </row>
    <row r="35" spans="3:9" x14ac:dyDescent="0.25">
      <c r="G35" s="27"/>
      <c r="H35" s="25"/>
      <c r="I35" s="27"/>
    </row>
    <row r="36" spans="3:9" x14ac:dyDescent="0.25"/>
    <row r="37" spans="3:9" x14ac:dyDescent="0.25"/>
    <row r="38" spans="3:9" x14ac:dyDescent="0.25"/>
    <row r="39" spans="3:9" x14ac:dyDescent="0.25"/>
    <row r="40" spans="3:9" x14ac:dyDescent="0.25"/>
    <row r="41" spans="3:9" x14ac:dyDescent="0.25"/>
    <row r="42" spans="3:9" x14ac:dyDescent="0.25"/>
    <row r="43" spans="3:9" x14ac:dyDescent="0.25">
      <c r="C43" s="21"/>
    </row>
    <row r="44" spans="3:9" x14ac:dyDescent="0.25">
      <c r="C44" s="113"/>
    </row>
    <row r="45" spans="3:9" x14ac:dyDescent="0.25"/>
    <row r="46" spans="3:9" x14ac:dyDescent="0.25"/>
    <row r="47" spans="3:9" x14ac:dyDescent="0.25"/>
    <row r="48" spans="3: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1:7" x14ac:dyDescent="0.25"/>
    <row r="82" spans="1:7" x14ac:dyDescent="0.25"/>
    <row r="83" spans="1:7" x14ac:dyDescent="0.25"/>
    <row r="84" spans="1:7" x14ac:dyDescent="0.25"/>
    <row r="85" spans="1:7" x14ac:dyDescent="0.25"/>
    <row r="86" spans="1:7" x14ac:dyDescent="0.25">
      <c r="A86" s="28"/>
      <c r="B86" s="29"/>
      <c r="C86" s="28"/>
      <c r="D86" s="28"/>
      <c r="E86" s="28"/>
      <c r="F86" s="28"/>
      <c r="G86" s="28"/>
    </row>
    <row r="87" spans="1:7" x14ac:dyDescent="0.25">
      <c r="A87" s="28"/>
      <c r="B87" s="29"/>
      <c r="C87" s="28"/>
      <c r="D87" s="28"/>
      <c r="E87" s="28"/>
      <c r="F87" s="28"/>
      <c r="G87" s="28"/>
    </row>
    <row r="88" spans="1:7" x14ac:dyDescent="0.25">
      <c r="A88" s="28"/>
      <c r="B88" s="29"/>
      <c r="C88" s="28"/>
      <c r="D88" s="28"/>
      <c r="E88" s="28"/>
      <c r="F88" s="28"/>
      <c r="G88" s="28"/>
    </row>
    <row r="89" spans="1:7" x14ac:dyDescent="0.25">
      <c r="A89" s="28"/>
      <c r="B89" s="29"/>
      <c r="C89" s="28"/>
      <c r="D89" s="28"/>
      <c r="E89" s="28"/>
      <c r="F89" s="28"/>
      <c r="G89" s="28"/>
    </row>
    <row r="90" spans="1:7" x14ac:dyDescent="0.25">
      <c r="A90" s="28"/>
      <c r="B90" s="29"/>
      <c r="C90" s="28"/>
      <c r="D90" s="28"/>
      <c r="E90" s="28"/>
      <c r="F90" s="28"/>
      <c r="G90" s="28"/>
    </row>
    <row r="91" spans="1:7" x14ac:dyDescent="0.25">
      <c r="A91" s="28"/>
      <c r="B91" s="29"/>
      <c r="C91" s="28"/>
      <c r="D91" s="28"/>
      <c r="E91" s="28"/>
      <c r="F91" s="28"/>
      <c r="G91" s="28"/>
    </row>
    <row r="92" spans="1:7" x14ac:dyDescent="0.25"/>
    <row r="93" spans="1:7" x14ac:dyDescent="0.25"/>
    <row r="94" spans="1:7" x14ac:dyDescent="0.25"/>
    <row r="95" spans="1:7" x14ac:dyDescent="0.25"/>
    <row r="96" spans="1:7"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sheetData>
  <sheetProtection formatCells="0" formatColumns="0" formatRows="0" insertHyperlinks="0" sort="0" autoFilter="0" pivotTables="0"/>
  <conditionalFormatting sqref="A13:A14">
    <cfRule type="expression" dxfId="92" priority="9">
      <formula>CELL("protect",A13)=1</formula>
    </cfRule>
  </conditionalFormatting>
  <conditionalFormatting sqref="A19">
    <cfRule type="expression" dxfId="91" priority="8">
      <formula>CELL("protect",A19)=1</formula>
    </cfRule>
  </conditionalFormatting>
  <conditionalFormatting sqref="A24:A25">
    <cfRule type="expression" dxfId="90" priority="3">
      <formula>CELL("protect",A24)=1</formula>
    </cfRule>
  </conditionalFormatting>
  <conditionalFormatting sqref="A28">
    <cfRule type="expression" dxfId="89" priority="6">
      <formula>CELL("protect",A28)=1</formula>
    </cfRule>
  </conditionalFormatting>
  <conditionalFormatting sqref="A86:G91">
    <cfRule type="expression" dxfId="88" priority="16">
      <formula>CELL("protect",A86)=1</formula>
    </cfRule>
  </conditionalFormatting>
  <conditionalFormatting sqref="C13:C14">
    <cfRule type="expression" dxfId="87" priority="5">
      <formula>CELL("protect",C13)=1</formula>
    </cfRule>
  </conditionalFormatting>
  <conditionalFormatting sqref="C19">
    <cfRule type="expression" dxfId="86" priority="4">
      <formula>CELL("protect",C19)=1</formula>
    </cfRule>
  </conditionalFormatting>
  <conditionalFormatting sqref="C24:C26">
    <cfRule type="expression" dxfId="85" priority="1">
      <formula>CELL("protect",C24)=1</formula>
    </cfRule>
  </conditionalFormatting>
  <conditionalFormatting sqref="G24:I27">
    <cfRule type="expression" dxfId="84" priority="12">
      <formula>CELL("protect",G24)=1</formula>
    </cfRule>
  </conditionalFormatting>
  <conditionalFormatting sqref="G29:I35">
    <cfRule type="expression" dxfId="83" priority="10">
      <formula>CELL("protect",G29)=1</formula>
    </cfRule>
  </conditionalFormatting>
  <pageMargins left="0.7" right="0.7" top="0.75" bottom="0.75" header="0.3" footer="0.3"/>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196"/>
  <sheetViews>
    <sheetView showGridLines="0" topLeftCell="A42" zoomScaleNormal="100" zoomScaleSheetLayoutView="80" workbookViewId="0"/>
  </sheetViews>
  <sheetFormatPr defaultColWidth="0" defaultRowHeight="15" zeroHeight="1" x14ac:dyDescent="0.25"/>
  <cols>
    <col min="1" max="1" width="7.7109375" style="28" customWidth="1"/>
    <col min="2" max="2" width="10.7109375" style="29" customWidth="1"/>
    <col min="3" max="3" width="19.5703125" style="28" customWidth="1"/>
    <col min="4" max="10" width="12.5703125" style="28" customWidth="1"/>
    <col min="11" max="12" width="10.5703125" style="28" customWidth="1"/>
    <col min="13" max="13" width="68.7109375" style="28" customWidth="1"/>
    <col min="14" max="40" width="10.5703125" style="28" customWidth="1"/>
    <col min="41" max="16384" width="10.5703125" style="28" hidden="1"/>
  </cols>
  <sheetData>
    <row r="1" spans="1:13" x14ac:dyDescent="0.25">
      <c r="A1" s="6"/>
      <c r="B1" s="7" t="s">
        <v>151</v>
      </c>
      <c r="C1" s="8"/>
      <c r="D1" s="8"/>
      <c r="E1" s="8"/>
      <c r="F1" s="8"/>
      <c r="G1" s="8"/>
      <c r="H1" s="8"/>
      <c r="I1" s="8"/>
      <c r="J1" s="8"/>
      <c r="K1" s="8"/>
      <c r="L1" s="8"/>
      <c r="M1" s="84"/>
    </row>
    <row r="2" spans="1:13" x14ac:dyDescent="0.25">
      <c r="A2" s="14"/>
      <c r="B2" s="10"/>
      <c r="C2" s="8"/>
      <c r="D2" s="8"/>
      <c r="E2" s="8"/>
      <c r="F2" s="8"/>
      <c r="G2" s="8"/>
      <c r="H2" s="8"/>
      <c r="I2" s="8"/>
      <c r="J2" s="8"/>
      <c r="K2" s="8"/>
      <c r="L2" s="8"/>
      <c r="M2" s="84"/>
    </row>
    <row r="3" spans="1:13" x14ac:dyDescent="0.25">
      <c r="A3" s="56"/>
      <c r="B3" s="8"/>
      <c r="C3" s="5" t="s">
        <v>152</v>
      </c>
      <c r="D3" s="8"/>
      <c r="E3" s="8"/>
      <c r="F3" s="8"/>
      <c r="G3" s="8"/>
      <c r="H3" s="8"/>
      <c r="I3" s="8"/>
      <c r="J3" s="8"/>
      <c r="K3" s="8"/>
      <c r="L3" s="8"/>
      <c r="M3" s="84"/>
    </row>
    <row r="4" spans="1:13" x14ac:dyDescent="0.25">
      <c r="A4" s="56"/>
      <c r="B4" s="8"/>
      <c r="C4" s="35" t="s">
        <v>153</v>
      </c>
      <c r="D4" s="85">
        <v>3000</v>
      </c>
      <c r="E4" s="8" t="s">
        <v>154</v>
      </c>
      <c r="F4" s="8"/>
      <c r="G4" s="8"/>
      <c r="H4" s="8"/>
      <c r="I4" s="8"/>
      <c r="J4" s="8"/>
      <c r="K4" s="8"/>
      <c r="L4" s="8"/>
      <c r="M4" s="84"/>
    </row>
    <row r="5" spans="1:13" x14ac:dyDescent="0.25">
      <c r="A5" s="56"/>
      <c r="B5" s="8"/>
      <c r="C5" s="35" t="s">
        <v>155</v>
      </c>
      <c r="D5" s="8"/>
      <c r="E5" s="8"/>
      <c r="F5" s="8"/>
      <c r="G5" s="8"/>
      <c r="H5" s="8"/>
      <c r="I5" s="8"/>
      <c r="J5" s="8"/>
      <c r="K5" s="8"/>
      <c r="L5" s="8"/>
      <c r="M5" s="84"/>
    </row>
    <row r="6" spans="1:13" x14ac:dyDescent="0.25">
      <c r="A6" s="56"/>
      <c r="B6" s="8"/>
      <c r="C6" s="35" t="s">
        <v>156</v>
      </c>
      <c r="D6" s="8"/>
      <c r="E6" s="8"/>
      <c r="F6" s="86">
        <v>2.5000000000000001E-2</v>
      </c>
      <c r="G6" s="8"/>
      <c r="H6" s="8"/>
      <c r="I6" s="8"/>
      <c r="J6" s="8"/>
      <c r="K6" s="8"/>
      <c r="L6" s="8"/>
      <c r="M6" s="84"/>
    </row>
    <row r="7" spans="1:13" x14ac:dyDescent="0.25">
      <c r="A7" s="56"/>
      <c r="B7" s="8"/>
      <c r="C7" s="35" t="s">
        <v>157</v>
      </c>
      <c r="D7" s="8"/>
      <c r="E7" s="8"/>
      <c r="F7" s="8"/>
      <c r="G7" s="8"/>
      <c r="H7" s="8"/>
      <c r="I7" s="8"/>
      <c r="J7" s="8"/>
      <c r="K7" s="8"/>
      <c r="L7" s="8"/>
      <c r="M7" s="84"/>
    </row>
    <row r="8" spans="1:13" x14ac:dyDescent="0.25">
      <c r="A8" s="56"/>
      <c r="B8" s="8"/>
      <c r="C8" s="35" t="s">
        <v>158</v>
      </c>
      <c r="D8" s="8"/>
      <c r="E8" s="8"/>
      <c r="F8" s="8"/>
      <c r="G8" s="8"/>
      <c r="H8" s="8"/>
      <c r="I8" s="8"/>
      <c r="J8" s="8"/>
      <c r="K8" s="8"/>
      <c r="L8" s="8"/>
      <c r="M8" s="84"/>
    </row>
    <row r="9" spans="1:13" x14ac:dyDescent="0.25">
      <c r="A9" s="56"/>
      <c r="B9" s="8"/>
      <c r="C9" s="35" t="s">
        <v>159</v>
      </c>
      <c r="D9" s="8"/>
      <c r="E9" s="8"/>
      <c r="F9" s="8"/>
      <c r="G9" s="8"/>
      <c r="H9" s="8"/>
      <c r="I9" s="8"/>
      <c r="J9" s="8"/>
      <c r="K9" s="8"/>
      <c r="L9" s="8"/>
      <c r="M9" s="84"/>
    </row>
    <row r="10" spans="1:13" x14ac:dyDescent="0.25">
      <c r="A10" s="56"/>
      <c r="B10" s="8"/>
      <c r="C10" s="87"/>
      <c r="D10" s="8"/>
      <c r="E10" s="8"/>
      <c r="F10" s="8"/>
      <c r="G10" s="8"/>
      <c r="H10" s="8"/>
      <c r="I10" s="8"/>
      <c r="J10" s="8"/>
      <c r="K10" s="8"/>
      <c r="L10" s="8"/>
      <c r="M10" s="84"/>
    </row>
    <row r="11" spans="1:13" x14ac:dyDescent="0.25">
      <c r="A11" s="56"/>
      <c r="B11" s="8"/>
      <c r="C11" s="5" t="s">
        <v>160</v>
      </c>
      <c r="D11" s="8"/>
      <c r="E11" s="8"/>
      <c r="F11" s="8"/>
      <c r="G11" s="8"/>
      <c r="H11" s="8"/>
      <c r="I11" s="8"/>
      <c r="J11" s="8"/>
      <c r="K11" s="8"/>
      <c r="L11" s="8"/>
      <c r="M11" s="84"/>
    </row>
    <row r="12" spans="1:13" x14ac:dyDescent="0.25">
      <c r="A12" s="56"/>
      <c r="B12" s="8"/>
      <c r="C12" s="5"/>
      <c r="D12" s="8"/>
      <c r="E12" s="8"/>
      <c r="F12" s="8"/>
      <c r="G12" s="8"/>
      <c r="H12" s="8"/>
      <c r="I12" s="8"/>
      <c r="J12" s="8"/>
      <c r="K12" s="8"/>
      <c r="L12" s="8"/>
      <c r="M12" s="84"/>
    </row>
    <row r="13" spans="1:13" x14ac:dyDescent="0.25">
      <c r="A13" s="56"/>
      <c r="B13" s="8"/>
      <c r="C13" s="5" t="s">
        <v>161</v>
      </c>
      <c r="D13" s="8"/>
      <c r="E13" s="8"/>
      <c r="F13" s="8"/>
      <c r="G13" s="8"/>
      <c r="H13" s="8"/>
      <c r="I13" s="8"/>
      <c r="J13" s="8"/>
      <c r="K13" s="8"/>
      <c r="L13" s="8"/>
      <c r="M13" s="84"/>
    </row>
    <row r="14" spans="1:13" x14ac:dyDescent="0.25">
      <c r="A14" s="56"/>
      <c r="B14" s="10"/>
      <c r="C14" s="8"/>
      <c r="D14" s="8"/>
      <c r="E14" s="8"/>
      <c r="F14" s="8"/>
      <c r="G14" s="8"/>
      <c r="H14" s="8"/>
      <c r="I14" s="8"/>
      <c r="J14" s="8"/>
      <c r="K14" s="8"/>
      <c r="L14" s="8"/>
      <c r="M14" s="84"/>
    </row>
    <row r="15" spans="1:13" x14ac:dyDescent="0.25">
      <c r="A15" s="10" t="s">
        <v>89</v>
      </c>
      <c r="B15" s="11" t="s">
        <v>162</v>
      </c>
      <c r="C15" s="88" t="s">
        <v>163</v>
      </c>
      <c r="D15" s="31"/>
      <c r="E15" s="31"/>
      <c r="F15" s="31"/>
      <c r="G15" s="12"/>
      <c r="H15" s="12"/>
      <c r="I15" s="12"/>
      <c r="J15" s="12"/>
      <c r="K15" s="12"/>
      <c r="L15" s="12"/>
      <c r="M15" s="84"/>
    </row>
    <row r="16" spans="1:13" x14ac:dyDescent="0.25">
      <c r="A16" s="14"/>
      <c r="B16" s="10"/>
      <c r="C16" s="33"/>
      <c r="D16" s="31"/>
      <c r="E16" s="31"/>
      <c r="F16" s="31"/>
      <c r="G16" s="13"/>
      <c r="H16" s="13"/>
      <c r="I16" s="13"/>
      <c r="J16" s="13"/>
      <c r="K16" s="13"/>
      <c r="L16" s="13"/>
      <c r="M16" s="84"/>
    </row>
    <row r="17" spans="1:22" x14ac:dyDescent="0.25">
      <c r="A17" s="10" t="s">
        <v>27</v>
      </c>
      <c r="B17" s="11" t="s">
        <v>25</v>
      </c>
      <c r="C17" s="89" t="s">
        <v>164</v>
      </c>
      <c r="D17" s="12"/>
      <c r="E17" s="12"/>
      <c r="F17" s="12"/>
      <c r="G17" s="13"/>
      <c r="H17" s="13"/>
      <c r="I17" s="13"/>
      <c r="J17" s="13"/>
      <c r="K17" s="13"/>
      <c r="L17" s="13"/>
      <c r="M17" s="84"/>
    </row>
    <row r="18" spans="1:22" ht="15.75" thickBot="1" x14ac:dyDescent="0.3">
      <c r="A18" s="14"/>
      <c r="B18" s="15"/>
      <c r="C18" s="11"/>
      <c r="D18" s="16"/>
      <c r="E18" s="16"/>
      <c r="F18" s="16"/>
      <c r="G18" s="13"/>
      <c r="H18" s="13"/>
      <c r="I18" s="13"/>
      <c r="J18" s="13"/>
      <c r="K18" s="13"/>
      <c r="L18" s="13"/>
      <c r="M18" s="84"/>
    </row>
    <row r="19" spans="1:22" ht="15.75" thickBot="1" x14ac:dyDescent="0.3">
      <c r="A19" s="3" t="s">
        <v>137</v>
      </c>
      <c r="B19" s="90"/>
      <c r="C19" s="4"/>
      <c r="D19" s="4"/>
      <c r="E19" s="4"/>
      <c r="F19" s="4"/>
      <c r="G19" s="18"/>
      <c r="H19" s="18"/>
      <c r="I19" s="18"/>
      <c r="J19" s="18"/>
      <c r="K19" s="18"/>
      <c r="L19" s="18"/>
      <c r="M19" s="91"/>
    </row>
    <row r="20" spans="1:22" x14ac:dyDescent="0.25">
      <c r="A20" s="103"/>
      <c r="B20" s="93"/>
      <c r="D20" s="93"/>
      <c r="E20" s="93"/>
      <c r="F20" s="93"/>
      <c r="G20" s="93"/>
      <c r="H20" s="93"/>
      <c r="I20" s="93"/>
      <c r="J20" s="93"/>
      <c r="K20" s="93"/>
      <c r="L20" s="93"/>
      <c r="M20" s="93"/>
    </row>
    <row r="21" spans="1:22" x14ac:dyDescent="0.25">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2" x14ac:dyDescent="0.25">
      <c r="A22" s="103"/>
      <c r="B22" s="95"/>
      <c r="D22" s="95"/>
      <c r="E22" s="95"/>
      <c r="F22" s="95"/>
      <c r="G22" s="95"/>
      <c r="H22" s="95"/>
      <c r="I22" s="95"/>
      <c r="J22" s="95"/>
      <c r="K22" s="95"/>
      <c r="L22" s="95"/>
      <c r="M22" s="95"/>
      <c r="N22" s="95"/>
      <c r="O22" s="95"/>
      <c r="P22" s="95"/>
      <c r="Q22" s="95"/>
      <c r="R22" s="95"/>
      <c r="S22" s="95"/>
      <c r="T22" s="95"/>
      <c r="U22" s="95"/>
    </row>
    <row r="23" spans="1:22" x14ac:dyDescent="0.25">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5"/>
      <c r="S23" s="95"/>
      <c r="T23" s="95"/>
      <c r="U23" s="95"/>
    </row>
    <row r="24" spans="1:22" ht="60" x14ac:dyDescent="0.25">
      <c r="A24" s="103"/>
      <c r="B24" s="95"/>
      <c r="C24" s="95"/>
      <c r="D24" s="98" t="s">
        <v>174</v>
      </c>
      <c r="E24" s="99" t="s">
        <v>175</v>
      </c>
      <c r="F24" s="99" t="s">
        <v>176</v>
      </c>
      <c r="G24" s="99" t="s">
        <v>177</v>
      </c>
      <c r="H24" s="99" t="s">
        <v>178</v>
      </c>
      <c r="I24" s="99" t="s">
        <v>179</v>
      </c>
      <c r="J24" s="99" t="s">
        <v>180</v>
      </c>
      <c r="K24" s="99" t="s">
        <v>181</v>
      </c>
      <c r="L24" s="95"/>
      <c r="M24" s="95"/>
      <c r="N24" s="95"/>
      <c r="O24" s="95"/>
      <c r="P24" s="95"/>
      <c r="Q24" s="95"/>
      <c r="R24" s="95"/>
      <c r="S24" s="95"/>
      <c r="T24" s="95"/>
      <c r="U24" s="95"/>
    </row>
    <row r="25" spans="1:22" x14ac:dyDescent="0.25">
      <c r="A25" s="103"/>
      <c r="B25" s="95"/>
      <c r="C25" s="95" t="s">
        <v>182</v>
      </c>
      <c r="D25" s="100">
        <v>0</v>
      </c>
      <c r="E25" s="100">
        <f>D4</f>
        <v>3000</v>
      </c>
      <c r="F25" s="101">
        <v>0</v>
      </c>
      <c r="G25" s="100">
        <v>0</v>
      </c>
      <c r="H25" s="100">
        <v>0</v>
      </c>
      <c r="I25" s="100">
        <v>0</v>
      </c>
      <c r="J25" s="100">
        <f>H25+I25</f>
        <v>0</v>
      </c>
      <c r="K25" s="100">
        <f>E25</f>
        <v>3000</v>
      </c>
      <c r="L25" s="95"/>
      <c r="M25" s="95"/>
      <c r="N25" s="95"/>
      <c r="O25" s="95"/>
      <c r="P25" s="95"/>
      <c r="Q25" s="95"/>
      <c r="R25" s="95"/>
      <c r="S25" s="95"/>
      <c r="T25" s="95"/>
      <c r="U25" s="95"/>
    </row>
    <row r="26" spans="1:22" x14ac:dyDescent="0.25">
      <c r="A26" s="103"/>
      <c r="B26" s="95"/>
      <c r="C26" s="95" t="s">
        <v>183</v>
      </c>
      <c r="D26" s="100">
        <f>K25</f>
        <v>3000</v>
      </c>
      <c r="E26" s="100">
        <v>0</v>
      </c>
      <c r="F26" s="101">
        <f>F25+1/3</f>
        <v>0.33333333333333331</v>
      </c>
      <c r="G26" s="100">
        <f>K25*$F$6</f>
        <v>75</v>
      </c>
      <c r="H26" s="100">
        <f>(H25-G26)*F26</f>
        <v>-25</v>
      </c>
      <c r="I26" s="100">
        <f>-(F26-F25)*$D$4</f>
        <v>-1000</v>
      </c>
      <c r="J26" s="100">
        <f>H26+I26</f>
        <v>-1025</v>
      </c>
      <c r="K26" s="100">
        <f>D26+G26+J26</f>
        <v>2050</v>
      </c>
      <c r="L26" s="95"/>
      <c r="M26" s="95"/>
      <c r="N26" s="95"/>
      <c r="O26" s="95"/>
      <c r="P26" s="95"/>
      <c r="Q26" s="95"/>
      <c r="R26" s="95"/>
      <c r="S26" s="95"/>
      <c r="T26" s="95"/>
      <c r="U26" s="95"/>
    </row>
    <row r="27" spans="1:22" x14ac:dyDescent="0.25">
      <c r="A27" s="103"/>
      <c r="B27" s="95"/>
      <c r="C27" s="95" t="s">
        <v>184</v>
      </c>
      <c r="D27" s="100">
        <f>K26</f>
        <v>2050</v>
      </c>
      <c r="E27" s="100">
        <v>0</v>
      </c>
      <c r="F27" s="101">
        <f>F26+1/3</f>
        <v>0.66666666666666663</v>
      </c>
      <c r="G27" s="100">
        <f>K26*$F$6</f>
        <v>51.25</v>
      </c>
      <c r="H27" s="100">
        <f>(H26-G27)*F27</f>
        <v>-50.833333333333329</v>
      </c>
      <c r="I27" s="100">
        <f>-(F27-F26)*$D$4</f>
        <v>-1000</v>
      </c>
      <c r="J27" s="100">
        <f>H27+I27</f>
        <v>-1050.8333333333333</v>
      </c>
      <c r="K27" s="100">
        <f>D27+G27+J27</f>
        <v>1050.4166666666667</v>
      </c>
      <c r="L27" s="95"/>
      <c r="M27" s="95"/>
      <c r="N27" s="95"/>
      <c r="O27" s="95"/>
      <c r="P27" s="95"/>
      <c r="Q27" s="95"/>
      <c r="R27" s="95"/>
      <c r="S27" s="95"/>
      <c r="T27" s="95"/>
      <c r="U27" s="95"/>
    </row>
    <row r="28" spans="1:22" x14ac:dyDescent="0.25">
      <c r="A28" s="103"/>
      <c r="B28" s="95"/>
      <c r="C28" s="95" t="s">
        <v>185</v>
      </c>
      <c r="D28" s="100">
        <f>K27</f>
        <v>1050.4166666666667</v>
      </c>
      <c r="E28" s="100">
        <v>0</v>
      </c>
      <c r="F28" s="101">
        <f>F27+1/3</f>
        <v>1</v>
      </c>
      <c r="G28" s="100">
        <f>K27*$F$6</f>
        <v>26.260416666666671</v>
      </c>
      <c r="H28" s="100">
        <f>(H27-G28)*F28</f>
        <v>-77.09375</v>
      </c>
      <c r="I28" s="100">
        <f>-(F28-F27)*$D$4</f>
        <v>-1000.0000000000001</v>
      </c>
      <c r="J28" s="100">
        <f>H28+I28</f>
        <v>-1077.09375</v>
      </c>
      <c r="K28" s="100">
        <f>D28+G28+J28</f>
        <v>-0.41666666666651508</v>
      </c>
      <c r="L28" s="95"/>
      <c r="M28" s="95"/>
      <c r="N28" s="95"/>
      <c r="O28" s="95"/>
      <c r="P28" s="95"/>
      <c r="Q28" s="95"/>
      <c r="R28" s="95"/>
      <c r="S28" s="95"/>
      <c r="T28" s="95"/>
      <c r="U28" s="95"/>
    </row>
    <row r="29" spans="1:22" x14ac:dyDescent="0.25">
      <c r="A29" s="103"/>
      <c r="B29" s="95"/>
      <c r="C29" s="95"/>
      <c r="D29" s="95"/>
      <c r="E29" s="95"/>
      <c r="F29" s="95"/>
      <c r="G29" s="95"/>
      <c r="H29" s="95"/>
      <c r="I29" s="95"/>
      <c r="J29" s="95"/>
      <c r="K29" s="95"/>
      <c r="L29" s="95"/>
      <c r="M29" s="95"/>
      <c r="N29" s="95"/>
      <c r="O29" s="95"/>
      <c r="P29" s="95"/>
      <c r="Q29" s="95"/>
      <c r="R29" s="95"/>
      <c r="S29" s="95"/>
      <c r="T29" s="95"/>
      <c r="U29" s="95"/>
    </row>
    <row r="30" spans="1:22" x14ac:dyDescent="0.25">
      <c r="A30" s="103"/>
      <c r="B30" s="95"/>
      <c r="C30" s="102" t="s">
        <v>166</v>
      </c>
      <c r="D30" s="95" t="s">
        <v>186</v>
      </c>
      <c r="E30" s="95"/>
      <c r="F30" s="95"/>
      <c r="G30" s="95"/>
      <c r="H30" s="95"/>
      <c r="I30" s="95"/>
      <c r="J30" s="95"/>
      <c r="K30" s="95"/>
      <c r="L30" s="95"/>
      <c r="M30" s="95"/>
      <c r="N30" s="95"/>
      <c r="O30" s="95"/>
      <c r="P30" s="95"/>
      <c r="Q30" s="95"/>
      <c r="R30" s="95"/>
      <c r="S30" s="95"/>
      <c r="T30" s="95"/>
      <c r="U30" s="95"/>
      <c r="V30" s="95"/>
    </row>
    <row r="31" spans="1:22" x14ac:dyDescent="0.25">
      <c r="A31" s="103"/>
      <c r="B31" s="95"/>
      <c r="C31" s="95" t="s">
        <v>167</v>
      </c>
      <c r="D31" s="95" t="s">
        <v>187</v>
      </c>
      <c r="E31" s="95"/>
      <c r="F31" s="95"/>
      <c r="G31" s="95"/>
      <c r="H31" s="95"/>
      <c r="I31" s="95"/>
      <c r="J31" s="95"/>
      <c r="K31" s="95"/>
      <c r="L31" s="95"/>
      <c r="M31" s="95"/>
      <c r="N31" s="95"/>
      <c r="O31" s="95"/>
      <c r="P31" s="95"/>
      <c r="Q31" s="95"/>
      <c r="R31" s="95"/>
      <c r="S31" s="95"/>
      <c r="T31" s="95"/>
      <c r="U31" s="95"/>
      <c r="V31" s="95"/>
    </row>
    <row r="32" spans="1:22" x14ac:dyDescent="0.25">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x14ac:dyDescent="0.25">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x14ac:dyDescent="0.25">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x14ac:dyDescent="0.25">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x14ac:dyDescent="0.25">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x14ac:dyDescent="0.25">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x14ac:dyDescent="0.25">
      <c r="A38" s="103"/>
      <c r="B38" s="95"/>
      <c r="C38" s="95"/>
      <c r="D38" s="95"/>
      <c r="E38" s="95"/>
      <c r="F38" s="95"/>
      <c r="G38" s="95"/>
      <c r="H38" s="95"/>
      <c r="I38" s="95"/>
      <c r="J38" s="95"/>
      <c r="K38" s="95"/>
      <c r="L38" s="95"/>
      <c r="M38" s="95"/>
      <c r="N38" s="95"/>
      <c r="O38" s="95"/>
      <c r="P38" s="95"/>
      <c r="Q38" s="95"/>
      <c r="R38" s="95"/>
      <c r="S38" s="95"/>
      <c r="T38" s="95"/>
      <c r="U38" s="95"/>
      <c r="V38" s="95"/>
    </row>
    <row r="39" spans="1:22" x14ac:dyDescent="0.25">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x14ac:dyDescent="0.25">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x14ac:dyDescent="0.25">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x14ac:dyDescent="0.25">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x14ac:dyDescent="0.25">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x14ac:dyDescent="0.25">
      <c r="A44" s="103"/>
      <c r="B44" s="95"/>
      <c r="C44" s="95"/>
      <c r="D44" s="95"/>
      <c r="E44" s="95"/>
      <c r="F44" s="95"/>
      <c r="G44" s="95"/>
      <c r="H44" s="95"/>
      <c r="I44" s="95"/>
      <c r="J44" s="95"/>
      <c r="K44" s="95"/>
      <c r="L44" s="95"/>
      <c r="M44" s="95"/>
      <c r="N44" s="95"/>
      <c r="O44" s="95"/>
      <c r="P44" s="95"/>
      <c r="Q44" s="95"/>
      <c r="R44" s="95"/>
      <c r="S44" s="95"/>
      <c r="T44" s="95"/>
      <c r="U44" s="95"/>
      <c r="V44" s="95"/>
    </row>
    <row r="45" spans="1:22" x14ac:dyDescent="0.25">
      <c r="A45" s="103"/>
      <c r="B45" s="95"/>
      <c r="C45" s="95"/>
      <c r="D45" s="95"/>
      <c r="E45" s="95"/>
      <c r="F45" s="95"/>
      <c r="G45" s="95"/>
      <c r="H45" s="95"/>
      <c r="I45" s="95"/>
      <c r="J45" s="95"/>
      <c r="K45" s="95"/>
      <c r="L45" s="95"/>
      <c r="M45" s="95"/>
      <c r="N45" s="95"/>
      <c r="O45" s="95"/>
      <c r="P45" s="95"/>
      <c r="Q45" s="95"/>
      <c r="R45" s="95"/>
      <c r="S45" s="95"/>
      <c r="T45" s="95"/>
      <c r="U45" s="95"/>
      <c r="V45" s="95"/>
    </row>
    <row r="46" spans="1:22" x14ac:dyDescent="0.25">
      <c r="A46" s="104">
        <v>0.5</v>
      </c>
      <c r="B46" s="95" t="s">
        <v>27</v>
      </c>
      <c r="C46" s="96" t="s">
        <v>199</v>
      </c>
      <c r="F46" s="95"/>
      <c r="G46" s="95"/>
      <c r="H46" s="95"/>
      <c r="I46" s="95"/>
      <c r="J46" s="95"/>
      <c r="K46" s="95"/>
      <c r="L46" s="95"/>
      <c r="M46" s="95"/>
      <c r="N46" s="95"/>
      <c r="O46" s="95"/>
      <c r="P46" s="95"/>
      <c r="Q46" s="95"/>
      <c r="R46" s="95"/>
      <c r="S46" s="95"/>
      <c r="T46" s="95"/>
      <c r="U46" s="95"/>
      <c r="V46" s="95"/>
    </row>
    <row r="47" spans="1:22" x14ac:dyDescent="0.25">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x14ac:dyDescent="0.25">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x14ac:dyDescent="0.25">
      <c r="A49" s="103"/>
      <c r="B49" s="95"/>
      <c r="C49" s="95"/>
      <c r="D49" s="95"/>
      <c r="E49" s="95"/>
      <c r="F49" s="95"/>
      <c r="G49" s="95"/>
      <c r="H49" s="95"/>
      <c r="I49" s="95"/>
      <c r="J49" s="95"/>
      <c r="K49" s="95"/>
      <c r="L49" s="95"/>
      <c r="M49" s="95"/>
      <c r="N49" s="95"/>
      <c r="O49" s="95"/>
      <c r="P49" s="95"/>
      <c r="Q49" s="95"/>
      <c r="R49" s="95"/>
      <c r="S49" s="95"/>
      <c r="T49" s="95"/>
      <c r="U49" s="95"/>
      <c r="V49" s="95"/>
    </row>
    <row r="50" spans="1:22" x14ac:dyDescent="0.25">
      <c r="A50" s="105"/>
      <c r="B50" s="28"/>
      <c r="C50" s="29"/>
    </row>
    <row r="51" spans="1:22" x14ac:dyDescent="0.25">
      <c r="A51" s="105"/>
      <c r="B51" s="28"/>
      <c r="C51" s="29"/>
    </row>
    <row r="52" spans="1:22" x14ac:dyDescent="0.25">
      <c r="A52" s="105"/>
      <c r="B52" s="28"/>
      <c r="C52" s="29"/>
    </row>
    <row r="53" spans="1:22" x14ac:dyDescent="0.25">
      <c r="A53" s="105"/>
      <c r="B53" s="28"/>
      <c r="C53" s="29"/>
    </row>
    <row r="54" spans="1:22" x14ac:dyDescent="0.25">
      <c r="A54" s="105"/>
      <c r="B54" s="28"/>
      <c r="C54" s="29"/>
    </row>
    <row r="55" spans="1:22" x14ac:dyDescent="0.25">
      <c r="A55" s="105"/>
      <c r="B55" s="28"/>
      <c r="C55" s="29"/>
    </row>
    <row r="56" spans="1:22" x14ac:dyDescent="0.25">
      <c r="A56" s="105"/>
      <c r="B56" s="28"/>
      <c r="C56" s="29"/>
    </row>
    <row r="57" spans="1:22" x14ac:dyDescent="0.25">
      <c r="A57" s="105"/>
      <c r="B57" s="28"/>
      <c r="C57" s="29"/>
    </row>
    <row r="58" spans="1:22" x14ac:dyDescent="0.25">
      <c r="A58" s="105"/>
      <c r="B58" s="28"/>
      <c r="C58" s="29"/>
    </row>
    <row r="59" spans="1:22" x14ac:dyDescent="0.25">
      <c r="A59" s="105"/>
      <c r="B59" s="28"/>
      <c r="C59" s="29"/>
    </row>
    <row r="60" spans="1:22" x14ac:dyDescent="0.25">
      <c r="A60" s="105"/>
      <c r="B60" s="28"/>
      <c r="C60" s="29"/>
    </row>
    <row r="61" spans="1:22" x14ac:dyDescent="0.25">
      <c r="A61" s="105"/>
      <c r="B61" s="28"/>
      <c r="C61" s="29"/>
    </row>
    <row r="62" spans="1:22" x14ac:dyDescent="0.25">
      <c r="A62" s="105"/>
      <c r="B62" s="28"/>
      <c r="C62" s="29"/>
    </row>
    <row r="63" spans="1:22" x14ac:dyDescent="0.25">
      <c r="A63" s="105"/>
      <c r="B63" s="28"/>
      <c r="C63" s="29"/>
    </row>
    <row r="64" spans="1:22" x14ac:dyDescent="0.25">
      <c r="A64" s="105"/>
      <c r="B64" s="28"/>
      <c r="C64" s="29"/>
    </row>
    <row r="65" spans="1:3" x14ac:dyDescent="0.25">
      <c r="A65" s="105"/>
      <c r="B65" s="28"/>
      <c r="C65" s="29"/>
    </row>
    <row r="66" spans="1:3" x14ac:dyDescent="0.25">
      <c r="A66" s="105"/>
      <c r="B66" s="28"/>
      <c r="C66" s="29"/>
    </row>
    <row r="67" spans="1:3" x14ac:dyDescent="0.25">
      <c r="A67" s="105"/>
      <c r="B67" s="28"/>
      <c r="C67" s="29"/>
    </row>
    <row r="68" spans="1:3" x14ac:dyDescent="0.25">
      <c r="A68" s="105"/>
      <c r="B68" s="28"/>
      <c r="C68" s="29"/>
    </row>
    <row r="69" spans="1:3" x14ac:dyDescent="0.25">
      <c r="A69" s="105"/>
      <c r="B69" s="28"/>
      <c r="C69" s="29"/>
    </row>
    <row r="70" spans="1:3" x14ac:dyDescent="0.25">
      <c r="A70" s="105"/>
      <c r="B70" s="28"/>
      <c r="C70" s="29"/>
    </row>
    <row r="71" spans="1:3" x14ac:dyDescent="0.25">
      <c r="A71" s="105"/>
      <c r="B71" s="28"/>
      <c r="C71" s="29"/>
    </row>
    <row r="72" spans="1:3" x14ac:dyDescent="0.25">
      <c r="A72" s="105"/>
      <c r="B72" s="28"/>
      <c r="C72" s="29"/>
    </row>
    <row r="73" spans="1:3" x14ac:dyDescent="0.25">
      <c r="A73" s="105"/>
      <c r="B73" s="28"/>
      <c r="C73" s="29"/>
    </row>
    <row r="74" spans="1:3" x14ac:dyDescent="0.25">
      <c r="A74" s="105"/>
      <c r="B74" s="28"/>
      <c r="C74" s="29"/>
    </row>
    <row r="75" spans="1:3" x14ac:dyDescent="0.25">
      <c r="A75" s="105"/>
    </row>
    <row r="76" spans="1:3" x14ac:dyDescent="0.25">
      <c r="A76" s="105"/>
    </row>
    <row r="77" spans="1:3" x14ac:dyDescent="0.25">
      <c r="A77" s="105"/>
    </row>
    <row r="78" spans="1:3" x14ac:dyDescent="0.25">
      <c r="A78" s="105"/>
    </row>
    <row r="79" spans="1:3" x14ac:dyDescent="0.25">
      <c r="A79" s="105"/>
    </row>
    <row r="80" spans="1:3" x14ac:dyDescent="0.25">
      <c r="A80" s="105"/>
    </row>
    <row r="81" spans="1:1" x14ac:dyDescent="0.25">
      <c r="A81" s="105"/>
    </row>
    <row r="82" spans="1:1" x14ac:dyDescent="0.25">
      <c r="A82" s="105"/>
    </row>
    <row r="83" spans="1:1" x14ac:dyDescent="0.25">
      <c r="A83" s="105"/>
    </row>
    <row r="84" spans="1:1" x14ac:dyDescent="0.25">
      <c r="A84" s="105"/>
    </row>
    <row r="85" spans="1:1" x14ac:dyDescent="0.25">
      <c r="A85" s="105"/>
    </row>
    <row r="86" spans="1:1" x14ac:dyDescent="0.25">
      <c r="A86" s="105"/>
    </row>
    <row r="87" spans="1:1" x14ac:dyDescent="0.25">
      <c r="A87" s="105"/>
    </row>
    <row r="88" spans="1:1" x14ac:dyDescent="0.25">
      <c r="A88" s="105"/>
    </row>
    <row r="89" spans="1:1" x14ac:dyDescent="0.25">
      <c r="A89" s="105"/>
    </row>
    <row r="90" spans="1:1" x14ac:dyDescent="0.25">
      <c r="A90" s="105"/>
    </row>
    <row r="91" spans="1:1" x14ac:dyDescent="0.25">
      <c r="A91" s="105"/>
    </row>
    <row r="92" spans="1:1" x14ac:dyDescent="0.25">
      <c r="A92" s="105"/>
    </row>
    <row r="93" spans="1:1" x14ac:dyDescent="0.25">
      <c r="A93" s="105"/>
    </row>
    <row r="94" spans="1:1" x14ac:dyDescent="0.25">
      <c r="A94" s="105"/>
    </row>
    <row r="95" spans="1:1" x14ac:dyDescent="0.25">
      <c r="A95" s="105"/>
    </row>
    <row r="96" spans="1:1" x14ac:dyDescent="0.25">
      <c r="A96" s="105"/>
    </row>
    <row r="97" spans="1:1" x14ac:dyDescent="0.25">
      <c r="A97" s="105"/>
    </row>
    <row r="98" spans="1:1" x14ac:dyDescent="0.25">
      <c r="A98" s="105"/>
    </row>
    <row r="99" spans="1:1" x14ac:dyDescent="0.25">
      <c r="A99" s="105"/>
    </row>
    <row r="100" spans="1:1" x14ac:dyDescent="0.25">
      <c r="A100" s="105"/>
    </row>
    <row r="101" spans="1:1" x14ac:dyDescent="0.25">
      <c r="A101" s="105"/>
    </row>
    <row r="102" spans="1:1" x14ac:dyDescent="0.25">
      <c r="A102" s="105"/>
    </row>
    <row r="103" spans="1:1" x14ac:dyDescent="0.25">
      <c r="A103" s="105"/>
    </row>
    <row r="104" spans="1:1" x14ac:dyDescent="0.25">
      <c r="A104" s="105"/>
    </row>
    <row r="105" spans="1:1" x14ac:dyDescent="0.25">
      <c r="A105" s="105"/>
    </row>
    <row r="106" spans="1:1" x14ac:dyDescent="0.25">
      <c r="A106" s="105"/>
    </row>
    <row r="107" spans="1:1" x14ac:dyDescent="0.25">
      <c r="A107" s="105"/>
    </row>
    <row r="108" spans="1:1" x14ac:dyDescent="0.25">
      <c r="A108" s="105"/>
    </row>
    <row r="109" spans="1:1" x14ac:dyDescent="0.25">
      <c r="A109" s="105"/>
    </row>
    <row r="110" spans="1:1" x14ac:dyDescent="0.25">
      <c r="A110" s="105"/>
    </row>
    <row r="111" spans="1:1" x14ac:dyDescent="0.25">
      <c r="A111" s="105"/>
    </row>
    <row r="112" spans="1:1" x14ac:dyDescent="0.25">
      <c r="A112" s="105"/>
    </row>
    <row r="113" spans="1:1" x14ac:dyDescent="0.25">
      <c r="A113" s="105"/>
    </row>
    <row r="114" spans="1:1" x14ac:dyDescent="0.25">
      <c r="A114" s="105"/>
    </row>
    <row r="115" spans="1:1" x14ac:dyDescent="0.25">
      <c r="A115" s="105"/>
    </row>
    <row r="116" spans="1:1" x14ac:dyDescent="0.25">
      <c r="A116" s="105"/>
    </row>
    <row r="117" spans="1:1" x14ac:dyDescent="0.25">
      <c r="A117" s="105"/>
    </row>
    <row r="118" spans="1:1" x14ac:dyDescent="0.25">
      <c r="A118" s="105"/>
    </row>
    <row r="119" spans="1:1" x14ac:dyDescent="0.25">
      <c r="A119" s="105"/>
    </row>
    <row r="120" spans="1:1" x14ac:dyDescent="0.25">
      <c r="A120" s="105"/>
    </row>
    <row r="121" spans="1:1" x14ac:dyDescent="0.25">
      <c r="A121" s="105"/>
    </row>
    <row r="122" spans="1:1" x14ac:dyDescent="0.25">
      <c r="A122" s="105"/>
    </row>
    <row r="123" spans="1:1" x14ac:dyDescent="0.25">
      <c r="A123" s="105"/>
    </row>
    <row r="124" spans="1:1" x14ac:dyDescent="0.25">
      <c r="A124" s="105"/>
    </row>
    <row r="125" spans="1:1" x14ac:dyDescent="0.25">
      <c r="A125" s="105"/>
    </row>
    <row r="126" spans="1:1" x14ac:dyDescent="0.25">
      <c r="A126" s="105"/>
    </row>
    <row r="127" spans="1:1" x14ac:dyDescent="0.25">
      <c r="A127" s="105"/>
    </row>
    <row r="128" spans="1:1" x14ac:dyDescent="0.25">
      <c r="A128" s="105"/>
    </row>
    <row r="129" spans="1:1" x14ac:dyDescent="0.25">
      <c r="A129" s="105"/>
    </row>
    <row r="130" spans="1:1" x14ac:dyDescent="0.25">
      <c r="A130" s="105"/>
    </row>
    <row r="131" spans="1:1" x14ac:dyDescent="0.25">
      <c r="A131" s="105"/>
    </row>
    <row r="132" spans="1:1" x14ac:dyDescent="0.25">
      <c r="A132" s="105"/>
    </row>
    <row r="133" spans="1:1" x14ac:dyDescent="0.25">
      <c r="A133" s="105"/>
    </row>
    <row r="134" spans="1:1" x14ac:dyDescent="0.25">
      <c r="A134" s="105"/>
    </row>
    <row r="135" spans="1:1" x14ac:dyDescent="0.25">
      <c r="A135" s="105"/>
    </row>
    <row r="136" spans="1:1" x14ac:dyDescent="0.25">
      <c r="A136" s="105"/>
    </row>
    <row r="137" spans="1:1" x14ac:dyDescent="0.25">
      <c r="A137" s="105"/>
    </row>
    <row r="138" spans="1:1" x14ac:dyDescent="0.25">
      <c r="A138" s="105"/>
    </row>
    <row r="139" spans="1:1" x14ac:dyDescent="0.25">
      <c r="A139" s="105"/>
    </row>
    <row r="140" spans="1:1" x14ac:dyDescent="0.25">
      <c r="A140" s="105"/>
    </row>
    <row r="141" spans="1:1" x14ac:dyDescent="0.25">
      <c r="A141" s="105"/>
    </row>
    <row r="142" spans="1:1" x14ac:dyDescent="0.25">
      <c r="A142" s="105"/>
    </row>
    <row r="143" spans="1:1" x14ac:dyDescent="0.25">
      <c r="A143" s="105"/>
    </row>
    <row r="144" spans="1:1" x14ac:dyDescent="0.25">
      <c r="A144" s="105"/>
    </row>
    <row r="145" spans="1:1" x14ac:dyDescent="0.25">
      <c r="A145" s="105"/>
    </row>
    <row r="146" spans="1:1" x14ac:dyDescent="0.25">
      <c r="A146" s="105"/>
    </row>
    <row r="147" spans="1:1" x14ac:dyDescent="0.25">
      <c r="A147" s="105"/>
    </row>
    <row r="148" spans="1:1" x14ac:dyDescent="0.25">
      <c r="A148" s="105"/>
    </row>
    <row r="149" spans="1:1" x14ac:dyDescent="0.25">
      <c r="A149" s="105"/>
    </row>
    <row r="150" spans="1:1" x14ac:dyDescent="0.25">
      <c r="A150" s="105"/>
    </row>
    <row r="151" spans="1:1" x14ac:dyDescent="0.25">
      <c r="A151" s="105"/>
    </row>
    <row r="152" spans="1:1" x14ac:dyDescent="0.25">
      <c r="A152" s="105"/>
    </row>
    <row r="153" spans="1:1" x14ac:dyDescent="0.25">
      <c r="A153" s="105"/>
    </row>
    <row r="154" spans="1:1" x14ac:dyDescent="0.25">
      <c r="A154" s="105"/>
    </row>
    <row r="155" spans="1:1" x14ac:dyDescent="0.25">
      <c r="A155" s="105"/>
    </row>
    <row r="156" spans="1:1" x14ac:dyDescent="0.25">
      <c r="A156" s="105"/>
    </row>
    <row r="157" spans="1:1" x14ac:dyDescent="0.25">
      <c r="A157" s="105"/>
    </row>
    <row r="158" spans="1:1" x14ac:dyDescent="0.25">
      <c r="A158" s="105"/>
    </row>
    <row r="159" spans="1:1" x14ac:dyDescent="0.25">
      <c r="A159" s="105"/>
    </row>
    <row r="160" spans="1:1" x14ac:dyDescent="0.25">
      <c r="A160" s="105"/>
    </row>
    <row r="161" spans="1:1" x14ac:dyDescent="0.25">
      <c r="A161" s="105"/>
    </row>
    <row r="162" spans="1:1" x14ac:dyDescent="0.25">
      <c r="A162" s="105"/>
    </row>
    <row r="163" spans="1:1" x14ac:dyDescent="0.25">
      <c r="A163" s="105"/>
    </row>
    <row r="164" spans="1:1" x14ac:dyDescent="0.25">
      <c r="A164" s="105"/>
    </row>
    <row r="165" spans="1:1" x14ac:dyDescent="0.25">
      <c r="A165" s="105"/>
    </row>
    <row r="166" spans="1:1" x14ac:dyDescent="0.25">
      <c r="A166" s="105"/>
    </row>
    <row r="167" spans="1:1" x14ac:dyDescent="0.25">
      <c r="A167" s="105"/>
    </row>
    <row r="168" spans="1:1" x14ac:dyDescent="0.25">
      <c r="A168" s="105"/>
    </row>
    <row r="169" spans="1:1" x14ac:dyDescent="0.25">
      <c r="A169" s="105"/>
    </row>
    <row r="170" spans="1:1" x14ac:dyDescent="0.25">
      <c r="A170" s="105"/>
    </row>
    <row r="171" spans="1:1" x14ac:dyDescent="0.25">
      <c r="A171" s="105"/>
    </row>
    <row r="172" spans="1:1" x14ac:dyDescent="0.25">
      <c r="A172" s="105"/>
    </row>
    <row r="173" spans="1:1" x14ac:dyDescent="0.25">
      <c r="A173" s="105"/>
    </row>
    <row r="174" spans="1:1" x14ac:dyDescent="0.25">
      <c r="A174" s="105"/>
    </row>
    <row r="175" spans="1:1" x14ac:dyDescent="0.25">
      <c r="A175" s="105"/>
    </row>
    <row r="176" spans="1:1" x14ac:dyDescent="0.25">
      <c r="A176" s="105"/>
    </row>
    <row r="177" spans="1:1" x14ac:dyDescent="0.25">
      <c r="A177" s="105"/>
    </row>
    <row r="178" spans="1:1" x14ac:dyDescent="0.25">
      <c r="A178" s="105"/>
    </row>
    <row r="179" spans="1:1" x14ac:dyDescent="0.25">
      <c r="A179" s="105"/>
    </row>
    <row r="180" spans="1:1" x14ac:dyDescent="0.25">
      <c r="A180" s="105"/>
    </row>
    <row r="181" spans="1:1" x14ac:dyDescent="0.25">
      <c r="A181" s="105"/>
    </row>
    <row r="182" spans="1:1" x14ac:dyDescent="0.25">
      <c r="A182" s="105"/>
    </row>
    <row r="183" spans="1:1" x14ac:dyDescent="0.25">
      <c r="A183" s="105"/>
    </row>
    <row r="184" spans="1:1" x14ac:dyDescent="0.25">
      <c r="A184" s="105"/>
    </row>
    <row r="185" spans="1:1" x14ac:dyDescent="0.25">
      <c r="A185" s="105"/>
    </row>
    <row r="186" spans="1:1" x14ac:dyDescent="0.25">
      <c r="A186" s="105"/>
    </row>
    <row r="187" spans="1:1" x14ac:dyDescent="0.25"/>
    <row r="188" spans="1:1" x14ac:dyDescent="0.25"/>
    <row r="189" spans="1:1" x14ac:dyDescent="0.25"/>
    <row r="190" spans="1:1" x14ac:dyDescent="0.25"/>
    <row r="191" spans="1:1" x14ac:dyDescent="0.25"/>
    <row r="192" spans="1:1" x14ac:dyDescent="0.25"/>
    <row r="193" x14ac:dyDescent="0.25"/>
    <row r="194" x14ac:dyDescent="0.25"/>
    <row r="195" x14ac:dyDescent="0.25"/>
    <row r="196" x14ac:dyDescent="0.25"/>
  </sheetData>
  <sheetProtection formatCells="0" formatColumns="0" formatRows="0" insertHyperlinks="0" sort="0" autoFilter="0" pivotTables="0"/>
  <conditionalFormatting sqref="A89:G94">
    <cfRule type="expression" dxfId="82" priority="1">
      <formula>CELL("protect",A89)=1</formula>
    </cfRule>
  </conditionalFormatting>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FC62"/>
  <sheetViews>
    <sheetView showGridLines="0" topLeftCell="A11" zoomScaleNormal="100" zoomScalePageLayoutView="90" workbookViewId="0"/>
  </sheetViews>
  <sheetFormatPr defaultColWidth="10.28515625" defaultRowHeight="15" x14ac:dyDescent="0.25"/>
  <cols>
    <col min="1" max="1" width="7.7109375" style="61" customWidth="1"/>
    <col min="2" max="2" width="10.7109375" style="61" customWidth="1"/>
    <col min="3" max="3" width="13" style="61" customWidth="1"/>
    <col min="4" max="4" width="10.28515625" style="61"/>
    <col min="5" max="5" width="19.28515625" style="61" customWidth="1"/>
    <col min="6" max="6" width="23.7109375" style="61" customWidth="1"/>
    <col min="7" max="7" width="18.42578125" style="61" customWidth="1"/>
    <col min="8" max="8" width="17.42578125" style="61" customWidth="1"/>
    <col min="9" max="9" width="30.28515625" style="61" customWidth="1"/>
    <col min="10" max="10" width="10.28515625" style="61"/>
    <col min="11" max="11" width="18.140625" style="61" customWidth="1"/>
    <col min="12" max="16384" width="10.28515625" style="61"/>
  </cols>
  <sheetData>
    <row r="1" spans="1:16383" x14ac:dyDescent="0.25">
      <c r="A1" s="36"/>
      <c r="B1" s="7" t="s">
        <v>202</v>
      </c>
      <c r="C1" s="37"/>
      <c r="D1" s="38"/>
      <c r="E1" s="59"/>
      <c r="F1" s="59"/>
      <c r="G1" s="59"/>
      <c r="H1" s="59"/>
      <c r="I1" s="59"/>
      <c r="J1" s="59"/>
      <c r="K1" s="60"/>
    </row>
    <row r="2" spans="1:16383" x14ac:dyDescent="0.25">
      <c r="A2" s="36"/>
      <c r="B2" s="7"/>
      <c r="C2" s="37"/>
      <c r="D2" s="38"/>
      <c r="E2" s="59"/>
      <c r="F2" s="59"/>
      <c r="G2" s="59"/>
      <c r="H2" s="59"/>
      <c r="I2" s="59"/>
      <c r="J2" s="59"/>
      <c r="K2" s="60"/>
    </row>
    <row r="3" spans="1:16383" ht="14.85" customHeight="1" x14ac:dyDescent="0.25">
      <c r="A3" s="39"/>
      <c r="B3" s="40"/>
      <c r="C3" s="40" t="s">
        <v>203</v>
      </c>
      <c r="D3" s="40"/>
      <c r="E3" s="40"/>
      <c r="F3" s="40"/>
      <c r="G3" s="40"/>
      <c r="H3" s="40"/>
      <c r="I3" s="40"/>
      <c r="J3" s="40"/>
      <c r="K3" s="41"/>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x14ac:dyDescent="0.25">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x14ac:dyDescent="0.25">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x14ac:dyDescent="0.25">
      <c r="A6" s="43"/>
      <c r="B6" s="44"/>
      <c r="C6" s="62"/>
      <c r="D6" s="62"/>
      <c r="E6" s="62"/>
      <c r="F6" s="62"/>
      <c r="G6" s="62"/>
      <c r="H6" s="62"/>
      <c r="I6" s="62"/>
      <c r="J6" s="62"/>
      <c r="K6" s="63"/>
    </row>
    <row r="7" spans="1:16383" ht="75" x14ac:dyDescent="0.25">
      <c r="A7" s="43"/>
      <c r="B7" s="44"/>
      <c r="C7" s="45" t="s">
        <v>44</v>
      </c>
      <c r="D7" s="45" t="s">
        <v>45</v>
      </c>
      <c r="E7" s="45" t="s">
        <v>46</v>
      </c>
      <c r="F7" s="45" t="s">
        <v>47</v>
      </c>
      <c r="G7" s="45" t="s">
        <v>206</v>
      </c>
      <c r="H7" s="46" t="s">
        <v>207</v>
      </c>
      <c r="I7" s="46" t="s">
        <v>208</v>
      </c>
      <c r="J7" s="62"/>
      <c r="K7" s="63"/>
    </row>
    <row r="8" spans="1:16383" x14ac:dyDescent="0.25">
      <c r="A8" s="43"/>
      <c r="B8" s="44"/>
      <c r="C8" s="47" t="s">
        <v>50</v>
      </c>
      <c r="D8" s="47">
        <v>10</v>
      </c>
      <c r="E8" s="47">
        <v>12</v>
      </c>
      <c r="F8" s="48">
        <v>5</v>
      </c>
      <c r="G8" s="48">
        <v>4</v>
      </c>
      <c r="H8" s="49" t="s">
        <v>209</v>
      </c>
      <c r="I8" s="49" t="s">
        <v>210</v>
      </c>
      <c r="J8" s="64"/>
      <c r="K8" s="63"/>
    </row>
    <row r="9" spans="1:16383" x14ac:dyDescent="0.25">
      <c r="A9" s="43"/>
      <c r="B9" s="44"/>
      <c r="C9" s="47" t="s">
        <v>51</v>
      </c>
      <c r="D9" s="47">
        <v>20</v>
      </c>
      <c r="E9" s="47">
        <v>18</v>
      </c>
      <c r="F9" s="48">
        <v>7.5</v>
      </c>
      <c r="G9" s="48">
        <v>6</v>
      </c>
      <c r="H9" s="49" t="s">
        <v>209</v>
      </c>
      <c r="I9" s="49" t="s">
        <v>211</v>
      </c>
      <c r="J9" s="64"/>
      <c r="K9" s="63"/>
    </row>
    <row r="10" spans="1:16383" x14ac:dyDescent="0.25">
      <c r="A10" s="43"/>
      <c r="B10" s="44"/>
      <c r="C10" s="47" t="s">
        <v>52</v>
      </c>
      <c r="D10" s="47">
        <v>6</v>
      </c>
      <c r="E10" s="47">
        <v>24</v>
      </c>
      <c r="F10" s="48">
        <v>3</v>
      </c>
      <c r="G10" s="48">
        <v>2.95</v>
      </c>
      <c r="H10" s="49" t="s">
        <v>209</v>
      </c>
      <c r="I10" s="49" t="s">
        <v>212</v>
      </c>
      <c r="J10" s="64"/>
      <c r="K10" s="63"/>
    </row>
    <row r="11" spans="1:16383" x14ac:dyDescent="0.25">
      <c r="A11" s="43"/>
      <c r="B11" s="44"/>
      <c r="C11" s="47" t="s">
        <v>53</v>
      </c>
      <c r="D11" s="47">
        <v>1</v>
      </c>
      <c r="E11" s="47">
        <v>24</v>
      </c>
      <c r="F11" s="48">
        <v>1</v>
      </c>
      <c r="G11" s="48">
        <v>0.5</v>
      </c>
      <c r="H11" s="49" t="s">
        <v>209</v>
      </c>
      <c r="I11" s="49" t="s">
        <v>213</v>
      </c>
      <c r="J11" s="64"/>
      <c r="K11" s="63"/>
    </row>
    <row r="12" spans="1:16383" x14ac:dyDescent="0.25">
      <c r="A12" s="43"/>
      <c r="B12" s="44"/>
      <c r="C12" s="47" t="s">
        <v>214</v>
      </c>
      <c r="D12" s="47">
        <v>6</v>
      </c>
      <c r="E12" s="47">
        <v>24</v>
      </c>
      <c r="F12" s="48">
        <v>1.5</v>
      </c>
      <c r="G12" s="48">
        <v>-0.3</v>
      </c>
      <c r="H12" s="49" t="s">
        <v>215</v>
      </c>
      <c r="I12" s="49" t="s">
        <v>213</v>
      </c>
      <c r="J12" s="64"/>
      <c r="K12" s="63"/>
    </row>
    <row r="13" spans="1:16383" x14ac:dyDescent="0.25">
      <c r="A13" s="43"/>
      <c r="B13" s="44"/>
      <c r="C13" s="47" t="s">
        <v>216</v>
      </c>
      <c r="D13" s="47">
        <v>2</v>
      </c>
      <c r="E13" s="47">
        <v>12</v>
      </c>
      <c r="F13" s="48">
        <v>0.5</v>
      </c>
      <c r="G13" s="48">
        <v>0.4</v>
      </c>
      <c r="H13" s="49" t="s">
        <v>209</v>
      </c>
      <c r="I13" s="49" t="s">
        <v>217</v>
      </c>
      <c r="J13" s="64"/>
      <c r="K13" s="63"/>
    </row>
    <row r="14" spans="1:16383" x14ac:dyDescent="0.25">
      <c r="A14" s="43"/>
      <c r="B14" s="44"/>
      <c r="C14" s="50" t="s">
        <v>218</v>
      </c>
      <c r="D14" s="51"/>
      <c r="E14" s="51"/>
      <c r="F14" s="51"/>
      <c r="G14" s="51"/>
      <c r="H14" s="52"/>
      <c r="I14" s="52"/>
      <c r="J14" s="62"/>
      <c r="K14" s="63"/>
    </row>
    <row r="15" spans="1:16383" x14ac:dyDescent="0.25">
      <c r="A15" s="43"/>
      <c r="B15" s="44"/>
      <c r="C15" s="59"/>
      <c r="D15" s="51"/>
      <c r="E15" s="51"/>
      <c r="F15" s="51"/>
      <c r="G15" s="51"/>
      <c r="H15" s="52"/>
      <c r="I15" s="52"/>
      <c r="J15" s="59"/>
      <c r="K15" s="60"/>
    </row>
    <row r="16" spans="1:16383" x14ac:dyDescent="0.25">
      <c r="A16" s="53" t="s">
        <v>89</v>
      </c>
      <c r="B16" s="7" t="s">
        <v>219</v>
      </c>
      <c r="C16" s="40" t="s">
        <v>220</v>
      </c>
      <c r="D16" s="59"/>
      <c r="E16" s="59"/>
      <c r="F16" s="59"/>
      <c r="G16" s="59"/>
      <c r="H16" s="59"/>
      <c r="I16" s="59"/>
      <c r="J16" s="59"/>
      <c r="K16" s="60"/>
    </row>
    <row r="17" spans="1:21" x14ac:dyDescent="0.25">
      <c r="A17" s="54"/>
      <c r="B17" s="44"/>
      <c r="C17" s="59"/>
      <c r="D17" s="59"/>
      <c r="E17" s="59"/>
      <c r="F17" s="59"/>
      <c r="G17" s="59"/>
      <c r="H17" s="59"/>
      <c r="I17" s="59"/>
      <c r="J17" s="59"/>
      <c r="K17" s="60"/>
    </row>
    <row r="18" spans="1:21" x14ac:dyDescent="0.25">
      <c r="A18" s="53" t="s">
        <v>27</v>
      </c>
      <c r="B18" s="7" t="s">
        <v>221</v>
      </c>
      <c r="C18" s="40" t="s">
        <v>222</v>
      </c>
      <c r="D18" s="59"/>
      <c r="E18" s="59"/>
      <c r="F18" s="59"/>
      <c r="G18" s="59"/>
      <c r="H18" s="59"/>
      <c r="I18" s="59"/>
      <c r="J18" s="59"/>
      <c r="K18" s="60"/>
    </row>
    <row r="19" spans="1:21" ht="15.75" thickBot="1" x14ac:dyDescent="0.3">
      <c r="A19" s="65"/>
      <c r="B19" s="66"/>
      <c r="C19" s="66"/>
      <c r="D19" s="66"/>
      <c r="E19" s="66"/>
      <c r="F19" s="66"/>
      <c r="G19" s="66"/>
      <c r="H19" s="66"/>
      <c r="I19" s="66"/>
      <c r="J19" s="66"/>
      <c r="K19" s="67"/>
    </row>
    <row r="20" spans="1:21" ht="15.75" thickBot="1" x14ac:dyDescent="0.3">
      <c r="A20" s="3" t="s">
        <v>137</v>
      </c>
      <c r="B20" s="55"/>
      <c r="C20" s="17"/>
      <c r="D20" s="4"/>
      <c r="E20" s="4"/>
      <c r="F20" s="4"/>
      <c r="G20" s="4"/>
      <c r="H20" s="18"/>
      <c r="I20" s="18"/>
      <c r="J20" s="18"/>
      <c r="K20" s="68"/>
      <c r="L20" s="69"/>
      <c r="M20" s="69"/>
      <c r="N20" s="69"/>
      <c r="O20" s="69"/>
      <c r="P20" s="69"/>
      <c r="Q20" s="69"/>
      <c r="R20" s="69"/>
      <c r="S20" s="69"/>
      <c r="T20" s="69"/>
      <c r="U20" s="69"/>
    </row>
    <row r="22" spans="1:21" x14ac:dyDescent="0.25">
      <c r="A22" s="70">
        <v>2</v>
      </c>
      <c r="B22" s="71" t="s">
        <v>89</v>
      </c>
      <c r="C22" s="71" t="s">
        <v>223</v>
      </c>
    </row>
    <row r="23" spans="1:21" x14ac:dyDescent="0.25">
      <c r="A23" s="70"/>
      <c r="B23" s="71"/>
      <c r="C23" s="72" t="s">
        <v>224</v>
      </c>
      <c r="D23" s="71"/>
    </row>
    <row r="24" spans="1:21" x14ac:dyDescent="0.25">
      <c r="A24" s="70"/>
      <c r="B24" s="71"/>
      <c r="C24" s="72" t="s">
        <v>225</v>
      </c>
      <c r="D24" s="71"/>
    </row>
    <row r="25" spans="1:21" x14ac:dyDescent="0.25">
      <c r="A25" s="70"/>
      <c r="B25" s="71"/>
      <c r="C25" s="71"/>
      <c r="D25" s="71"/>
    </row>
    <row r="26" spans="1:21" x14ac:dyDescent="0.25">
      <c r="A26" s="70"/>
      <c r="B26" s="71"/>
      <c r="C26" s="71" t="s">
        <v>50</v>
      </c>
    </row>
    <row r="27" spans="1:21" x14ac:dyDescent="0.25">
      <c r="A27" s="70">
        <v>0.25</v>
      </c>
      <c r="B27" s="71"/>
      <c r="C27" s="71" t="s">
        <v>226</v>
      </c>
      <c r="D27" s="71"/>
    </row>
    <row r="28" spans="1:21" x14ac:dyDescent="0.25">
      <c r="A28" s="70">
        <v>0.25</v>
      </c>
      <c r="B28" s="71"/>
      <c r="C28" s="71" t="s">
        <v>227</v>
      </c>
      <c r="D28" s="71"/>
    </row>
    <row r="29" spans="1:21" x14ac:dyDescent="0.25">
      <c r="A29" s="70"/>
      <c r="B29" s="71"/>
      <c r="D29" s="71"/>
    </row>
    <row r="30" spans="1:21" x14ac:dyDescent="0.25">
      <c r="A30" s="70"/>
      <c r="B30" s="71"/>
      <c r="C30" s="71" t="s">
        <v>51</v>
      </c>
    </row>
    <row r="31" spans="1:21" x14ac:dyDescent="0.25">
      <c r="A31" s="70"/>
      <c r="B31" s="71"/>
      <c r="C31" s="71" t="s">
        <v>64</v>
      </c>
    </row>
    <row r="32" spans="1:21" x14ac:dyDescent="0.25">
      <c r="A32" s="70"/>
      <c r="B32" s="71"/>
      <c r="C32" s="71" t="s">
        <v>65</v>
      </c>
      <c r="E32" s="73">
        <f>F9</f>
        <v>7.5</v>
      </c>
    </row>
    <row r="33" spans="1:5" x14ac:dyDescent="0.25">
      <c r="A33" s="70"/>
      <c r="B33" s="71"/>
      <c r="C33" s="71" t="s">
        <v>66</v>
      </c>
      <c r="E33" s="73">
        <f>G9</f>
        <v>6</v>
      </c>
    </row>
    <row r="34" spans="1:5" x14ac:dyDescent="0.25">
      <c r="A34" s="70">
        <v>0.25</v>
      </c>
      <c r="B34" s="71"/>
      <c r="C34" s="71" t="s">
        <v>67</v>
      </c>
      <c r="E34" s="74">
        <f>(E32-E33)/D9</f>
        <v>7.4999999999999997E-2</v>
      </c>
    </row>
    <row r="35" spans="1:5" x14ac:dyDescent="0.25">
      <c r="A35" s="70">
        <v>0.25</v>
      </c>
      <c r="B35" s="71"/>
      <c r="C35" s="72" t="s">
        <v>228</v>
      </c>
      <c r="D35" s="71"/>
    </row>
    <row r="36" spans="1:5" x14ac:dyDescent="0.25">
      <c r="A36" s="70"/>
      <c r="B36" s="71"/>
      <c r="C36" s="71"/>
      <c r="D36" s="71"/>
    </row>
    <row r="37" spans="1:5" x14ac:dyDescent="0.25">
      <c r="A37" s="70"/>
      <c r="B37" s="71"/>
      <c r="C37" s="71" t="s">
        <v>52</v>
      </c>
    </row>
    <row r="38" spans="1:5" x14ac:dyDescent="0.25">
      <c r="A38" s="70"/>
      <c r="B38" s="71"/>
      <c r="C38" s="71" t="s">
        <v>64</v>
      </c>
    </row>
    <row r="39" spans="1:5" x14ac:dyDescent="0.25">
      <c r="A39" s="70"/>
      <c r="B39" s="71"/>
      <c r="C39" s="71" t="s">
        <v>65</v>
      </c>
      <c r="E39" s="73">
        <f>F10</f>
        <v>3</v>
      </c>
    </row>
    <row r="40" spans="1:5" x14ac:dyDescent="0.25">
      <c r="A40" s="70"/>
      <c r="B40" s="71"/>
      <c r="C40" s="71" t="s">
        <v>66</v>
      </c>
      <c r="E40" s="73">
        <f>G10</f>
        <v>2.95</v>
      </c>
    </row>
    <row r="41" spans="1:5" x14ac:dyDescent="0.25">
      <c r="A41" s="70">
        <v>0.25</v>
      </c>
      <c r="B41" s="71"/>
      <c r="C41" s="71" t="s">
        <v>67</v>
      </c>
      <c r="E41" s="75">
        <f>(E39-E40)/D10</f>
        <v>8.3333333333333037E-3</v>
      </c>
    </row>
    <row r="42" spans="1:5" x14ac:dyDescent="0.25">
      <c r="A42" s="70">
        <v>0.25</v>
      </c>
      <c r="B42" s="71"/>
      <c r="C42" s="72" t="s">
        <v>229</v>
      </c>
      <c r="D42" s="71"/>
    </row>
    <row r="43" spans="1:5" x14ac:dyDescent="0.25">
      <c r="A43" s="70"/>
      <c r="B43" s="71"/>
      <c r="C43" s="71"/>
      <c r="D43" s="71"/>
    </row>
    <row r="44" spans="1:5" x14ac:dyDescent="0.25">
      <c r="A44" s="70"/>
      <c r="B44" s="71"/>
      <c r="C44" s="71" t="s">
        <v>53</v>
      </c>
    </row>
    <row r="45" spans="1:5" x14ac:dyDescent="0.25">
      <c r="A45" s="70">
        <v>0.25</v>
      </c>
      <c r="B45" s="71"/>
      <c r="C45" s="71" t="s">
        <v>70</v>
      </c>
      <c r="E45" s="75">
        <f>D11/SUM(D8:D13)</f>
        <v>2.2222222222222223E-2</v>
      </c>
    </row>
    <row r="46" spans="1:5" x14ac:dyDescent="0.25">
      <c r="A46" s="70">
        <v>0.25</v>
      </c>
      <c r="B46" s="71"/>
      <c r="C46" s="72" t="s">
        <v>68</v>
      </c>
    </row>
    <row r="47" spans="1:5" x14ac:dyDescent="0.25">
      <c r="A47" s="76"/>
    </row>
    <row r="48" spans="1:5" x14ac:dyDescent="0.25">
      <c r="A48" s="76">
        <v>1.75</v>
      </c>
      <c r="B48" s="61" t="s">
        <v>27</v>
      </c>
      <c r="C48" s="106" t="s">
        <v>230</v>
      </c>
    </row>
    <row r="49" spans="1:4" x14ac:dyDescent="0.25">
      <c r="A49" s="76"/>
      <c r="D49" s="106"/>
    </row>
    <row r="50" spans="1:4" x14ac:dyDescent="0.25">
      <c r="A50" s="76"/>
      <c r="C50" s="61" t="s">
        <v>231</v>
      </c>
    </row>
    <row r="51" spans="1:4" x14ac:dyDescent="0.25">
      <c r="A51" s="76">
        <v>0.25</v>
      </c>
      <c r="C51" s="61" t="s">
        <v>232</v>
      </c>
    </row>
    <row r="52" spans="1:4" x14ac:dyDescent="0.25">
      <c r="A52" s="76">
        <v>0.25</v>
      </c>
      <c r="C52" s="61" t="s">
        <v>233</v>
      </c>
    </row>
    <row r="53" spans="1:4" x14ac:dyDescent="0.25">
      <c r="A53" s="76">
        <v>0.25</v>
      </c>
      <c r="C53" s="61" t="s">
        <v>234</v>
      </c>
    </row>
    <row r="54" spans="1:4" x14ac:dyDescent="0.25">
      <c r="A54" s="76"/>
    </row>
    <row r="55" spans="1:4" x14ac:dyDescent="0.25">
      <c r="A55" s="76"/>
      <c r="C55" s="61" t="s">
        <v>235</v>
      </c>
    </row>
    <row r="56" spans="1:4" ht="14.1" customHeight="1" x14ac:dyDescent="0.25">
      <c r="A56" s="76">
        <v>0.25</v>
      </c>
      <c r="C56" s="61" t="s">
        <v>236</v>
      </c>
    </row>
    <row r="57" spans="1:4" ht="14.1" customHeight="1" x14ac:dyDescent="0.25">
      <c r="A57" s="76">
        <v>0.25</v>
      </c>
      <c r="C57" s="61" t="s">
        <v>237</v>
      </c>
    </row>
    <row r="58" spans="1:4" ht="14.1" customHeight="1" x14ac:dyDescent="0.25">
      <c r="A58" s="76"/>
    </row>
    <row r="59" spans="1:4" x14ac:dyDescent="0.25">
      <c r="A59" s="76">
        <v>0.25</v>
      </c>
      <c r="C59" s="61" t="s">
        <v>238</v>
      </c>
    </row>
    <row r="60" spans="1:4" x14ac:dyDescent="0.25">
      <c r="A60" s="76"/>
    </row>
    <row r="61" spans="1:4" x14ac:dyDescent="0.25">
      <c r="A61" s="76">
        <v>0.25</v>
      </c>
      <c r="C61" s="61" t="s">
        <v>239</v>
      </c>
    </row>
    <row r="62" spans="1:4" x14ac:dyDescent="0.25">
      <c r="A62" s="76"/>
    </row>
  </sheetData>
  <conditionalFormatting sqref="C1:C2">
    <cfRule type="cellIs" dxfId="81" priority="1" stopIfTrue="1" operator="equal">
      <formula>"Review"</formula>
    </cfRule>
    <cfRule type="cellIs" dxfId="80" priority="2" stopIfTrue="1" operator="equal">
      <formula>"Finished"</formula>
    </cfRule>
    <cfRule type="cellIs" dxfId="79" priority="3" stopIfTrue="1" operator="equal">
      <formula>"Incomplete"</formula>
    </cfRule>
  </conditionalFormatting>
  <dataValidations count="1">
    <dataValidation type="list" showInputMessage="1" showErrorMessage="1" sqref="C1:C2" xr:uid="{00000000-0002-0000-0700-000000000000}">
      <formula1>"Incomplete, Finished, Review"</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O311"/>
  <sheetViews>
    <sheetView showGridLines="0" topLeftCell="A137" zoomScaleNormal="100" zoomScalePageLayoutView="90" workbookViewId="0">
      <selection activeCell="E150" sqref="E150"/>
    </sheetView>
  </sheetViews>
  <sheetFormatPr defaultColWidth="8.85546875" defaultRowHeight="15" x14ac:dyDescent="0.25"/>
  <cols>
    <col min="1" max="1" width="8.85546875" style="103"/>
    <col min="2" max="2" width="11.85546875" style="262" customWidth="1"/>
    <col min="3" max="3" width="21.42578125" style="262" customWidth="1"/>
    <col min="4" max="4" width="18.140625" style="262" customWidth="1"/>
    <col min="5" max="5" width="14.7109375" style="262" customWidth="1"/>
    <col min="6" max="6" width="15" style="262" customWidth="1"/>
    <col min="7" max="7" width="11.7109375" style="262" customWidth="1"/>
    <col min="8" max="8" width="11.42578125" style="262" customWidth="1"/>
    <col min="9" max="9" width="33.7109375" style="262" customWidth="1"/>
    <col min="10" max="13" width="11.7109375" style="262" customWidth="1"/>
    <col min="14" max="14" width="11.42578125" style="262" customWidth="1"/>
    <col min="15" max="15" width="22.5703125" style="262" customWidth="1"/>
    <col min="16" max="17" width="11.7109375" style="262" customWidth="1"/>
    <col min="18" max="18" width="27.28515625" style="262" customWidth="1"/>
    <col min="19" max="19" width="11.7109375" style="262" customWidth="1"/>
    <col min="20" max="20" width="11" style="262" customWidth="1"/>
    <col min="21" max="21" width="10.42578125" style="262" customWidth="1"/>
    <col min="22" max="22" width="11.140625" style="262" customWidth="1"/>
    <col min="23" max="23" width="12.140625" style="262" customWidth="1"/>
    <col min="24" max="38" width="8.85546875" style="262"/>
    <col min="39" max="39" width="13.42578125" style="262" customWidth="1"/>
    <col min="40" max="43" width="12.85546875" style="262" customWidth="1"/>
    <col min="44" max="44" width="12.7109375" style="262" customWidth="1"/>
    <col min="45" max="49" width="12.85546875" style="262" customWidth="1"/>
    <col min="50" max="50" width="11.42578125" style="262" customWidth="1"/>
    <col min="51" max="51" width="12.85546875" style="262" customWidth="1"/>
    <col min="52" max="52" width="14.28515625" style="262" customWidth="1"/>
    <col min="53" max="53" width="12.85546875" style="262" customWidth="1"/>
    <col min="54" max="54" width="14.28515625" style="262" customWidth="1"/>
    <col min="55" max="55" width="12.85546875" style="262" customWidth="1"/>
    <col min="56" max="56" width="12.140625" style="262" customWidth="1"/>
    <col min="57" max="59" width="8.85546875" style="262"/>
    <col min="60" max="61" width="10.140625" style="262" customWidth="1"/>
    <col min="62" max="62" width="11.140625" style="262" customWidth="1"/>
    <col min="63" max="16384" width="8.85546875" style="262"/>
  </cols>
  <sheetData>
    <row r="1" spans="1:21" x14ac:dyDescent="0.25">
      <c r="A1" s="325"/>
      <c r="B1" s="7" t="s">
        <v>240</v>
      </c>
      <c r="C1" s="87"/>
      <c r="D1" s="87"/>
      <c r="E1" s="87"/>
      <c r="F1" s="87"/>
      <c r="G1" s="87"/>
      <c r="H1" s="87"/>
      <c r="I1" s="87"/>
      <c r="J1" s="87"/>
      <c r="K1" s="87"/>
      <c r="L1" s="87"/>
      <c r="M1" s="87"/>
      <c r="N1" s="87"/>
      <c r="O1" s="87"/>
      <c r="P1" s="87"/>
      <c r="Q1" s="87"/>
      <c r="R1" s="87"/>
      <c r="S1" s="87"/>
      <c r="T1" s="87"/>
      <c r="U1" s="164"/>
    </row>
    <row r="2" spans="1:21" x14ac:dyDescent="0.25">
      <c r="A2" s="325"/>
      <c r="B2" s="260"/>
      <c r="C2" s="87"/>
      <c r="D2" s="87"/>
      <c r="E2" s="87"/>
      <c r="F2" s="87"/>
      <c r="G2" s="87"/>
      <c r="H2" s="87"/>
      <c r="I2" s="87"/>
      <c r="J2" s="87"/>
      <c r="K2" s="87"/>
      <c r="L2" s="87"/>
      <c r="M2" s="87"/>
      <c r="N2" s="87"/>
      <c r="O2" s="87"/>
      <c r="P2" s="87"/>
      <c r="Q2" s="87"/>
      <c r="R2" s="87"/>
      <c r="S2" s="87"/>
      <c r="T2" s="87"/>
      <c r="U2" s="164"/>
    </row>
    <row r="3" spans="1:21" x14ac:dyDescent="0.25">
      <c r="A3" s="326"/>
      <c r="B3" s="87"/>
      <c r="C3" s="5" t="s">
        <v>241</v>
      </c>
      <c r="D3" s="87"/>
      <c r="E3" s="87"/>
      <c r="F3" s="87"/>
      <c r="G3" s="87"/>
      <c r="H3" s="87"/>
      <c r="I3" s="87"/>
      <c r="J3" s="87"/>
      <c r="K3" s="87"/>
      <c r="L3" s="87"/>
      <c r="M3" s="87"/>
      <c r="N3" s="87"/>
      <c r="O3" s="87"/>
      <c r="P3" s="87"/>
      <c r="Q3" s="87"/>
      <c r="R3" s="87"/>
      <c r="S3" s="87"/>
      <c r="T3" s="87"/>
      <c r="U3" s="164"/>
    </row>
    <row r="4" spans="1:21" x14ac:dyDescent="0.25">
      <c r="A4" s="326"/>
      <c r="B4" s="87"/>
      <c r="C4" s="5" t="s">
        <v>242</v>
      </c>
      <c r="D4" s="87"/>
      <c r="E4" s="87"/>
      <c r="F4" s="87"/>
      <c r="G4" s="87"/>
      <c r="H4" s="87"/>
      <c r="I4" s="87"/>
      <c r="J4" s="87"/>
      <c r="K4" s="87"/>
      <c r="L4" s="87"/>
      <c r="M4" s="87"/>
      <c r="N4" s="87"/>
      <c r="O4" s="87"/>
      <c r="P4" s="87"/>
      <c r="Q4" s="87"/>
      <c r="R4" s="87"/>
      <c r="S4" s="87"/>
      <c r="T4" s="87"/>
      <c r="U4" s="164"/>
    </row>
    <row r="5" spans="1:21" x14ac:dyDescent="0.25">
      <c r="A5" s="326"/>
      <c r="B5" s="87"/>
      <c r="C5" s="5" t="s">
        <v>243</v>
      </c>
      <c r="D5" s="87"/>
      <c r="E5" s="87"/>
      <c r="F5" s="87"/>
      <c r="G5" s="87"/>
      <c r="H5" s="87"/>
      <c r="I5" s="87"/>
      <c r="J5" s="87"/>
      <c r="K5" s="87"/>
      <c r="L5" s="87"/>
      <c r="M5" s="87"/>
      <c r="N5" s="87"/>
      <c r="O5" s="87"/>
      <c r="P5" s="87"/>
      <c r="Q5" s="87"/>
      <c r="R5" s="87"/>
      <c r="S5" s="87"/>
      <c r="T5" s="87"/>
      <c r="U5" s="164"/>
    </row>
    <row r="6" spans="1:21" x14ac:dyDescent="0.25">
      <c r="A6" s="326"/>
      <c r="B6" s="87"/>
      <c r="C6" s="5" t="s">
        <v>244</v>
      </c>
      <c r="D6" s="87"/>
      <c r="E6" s="87"/>
      <c r="F6" s="87"/>
      <c r="G6" s="87"/>
      <c r="H6" s="87"/>
      <c r="I6" s="87"/>
      <c r="J6" s="263"/>
      <c r="K6" s="87"/>
      <c r="L6" s="87"/>
      <c r="M6" s="87"/>
      <c r="N6" s="87"/>
      <c r="O6" s="87"/>
      <c r="P6" s="87"/>
      <c r="Q6" s="87"/>
      <c r="R6" s="87"/>
      <c r="S6" s="87"/>
      <c r="T6" s="87"/>
      <c r="U6" s="164"/>
    </row>
    <row r="7" spans="1:21" x14ac:dyDescent="0.25">
      <c r="A7" s="326"/>
      <c r="B7" s="87"/>
      <c r="C7" s="87"/>
      <c r="D7" s="87"/>
      <c r="E7" s="87"/>
      <c r="F7" s="87"/>
      <c r="G7" s="87"/>
      <c r="H7" s="87"/>
      <c r="I7" s="87"/>
      <c r="J7" s="87"/>
      <c r="K7" s="87"/>
      <c r="L7" s="87"/>
      <c r="M7" s="87"/>
      <c r="N7" s="87"/>
      <c r="O7" s="87"/>
      <c r="P7" s="87"/>
      <c r="Q7" s="87"/>
      <c r="R7" s="87"/>
      <c r="S7" s="87"/>
      <c r="T7" s="87"/>
      <c r="U7" s="164"/>
    </row>
    <row r="8" spans="1:21" x14ac:dyDescent="0.25">
      <c r="A8" s="326"/>
      <c r="B8" s="87"/>
      <c r="C8" s="5" t="s">
        <v>245</v>
      </c>
      <c r="D8" s="87"/>
      <c r="E8" s="87"/>
      <c r="F8" s="87"/>
      <c r="G8" s="87"/>
      <c r="H8" s="87"/>
      <c r="I8" s="87"/>
      <c r="J8" s="87"/>
      <c r="K8" s="87"/>
      <c r="L8" s="87"/>
      <c r="M8" s="87"/>
      <c r="N8" s="87"/>
      <c r="O8" s="87"/>
      <c r="P8" s="87"/>
      <c r="Q8" s="87"/>
      <c r="R8" s="87"/>
      <c r="S8" s="264"/>
      <c r="T8" s="87"/>
      <c r="U8" s="164"/>
    </row>
    <row r="9" spans="1:21" x14ac:dyDescent="0.25">
      <c r="A9" s="326"/>
      <c r="B9" s="87"/>
      <c r="C9" s="5" t="s">
        <v>246</v>
      </c>
      <c r="D9" s="87"/>
      <c r="E9" s="87"/>
      <c r="F9" s="87"/>
      <c r="G9" s="87"/>
      <c r="H9" s="87"/>
      <c r="I9" s="87"/>
      <c r="J9" s="87"/>
      <c r="K9" s="87"/>
      <c r="L9" s="87"/>
      <c r="M9" s="87"/>
      <c r="N9" s="87"/>
      <c r="O9" s="87"/>
      <c r="P9" s="87"/>
      <c r="Q9" s="87"/>
      <c r="R9" s="87"/>
      <c r="S9" s="87"/>
      <c r="T9" s="87"/>
      <c r="U9" s="164"/>
    </row>
    <row r="10" spans="1:21" x14ac:dyDescent="0.25">
      <c r="A10" s="326"/>
      <c r="B10" s="87"/>
      <c r="C10" s="5"/>
      <c r="D10" s="87"/>
      <c r="E10" s="87"/>
      <c r="F10" s="87"/>
      <c r="G10" s="87"/>
      <c r="H10" s="87"/>
      <c r="I10" s="87"/>
      <c r="J10" s="87"/>
      <c r="K10" s="87"/>
      <c r="L10" s="87"/>
      <c r="M10" s="87"/>
      <c r="N10" s="87"/>
      <c r="O10" s="87"/>
      <c r="P10" s="87"/>
      <c r="Q10" s="87"/>
      <c r="R10" s="87"/>
      <c r="S10" s="87"/>
      <c r="T10" s="87"/>
      <c r="U10" s="164"/>
    </row>
    <row r="11" spans="1:21" x14ac:dyDescent="0.25">
      <c r="A11" s="326"/>
      <c r="B11" s="87"/>
      <c r="C11" s="5" t="s">
        <v>247</v>
      </c>
      <c r="D11" s="87"/>
      <c r="E11" s="87"/>
      <c r="F11" s="87"/>
      <c r="G11" s="87"/>
      <c r="H11" s="87"/>
      <c r="I11" s="87"/>
      <c r="J11" s="87"/>
      <c r="K11" s="87"/>
      <c r="L11" s="87"/>
      <c r="M11" s="87"/>
      <c r="N11" s="87"/>
      <c r="O11" s="87"/>
      <c r="P11" s="87"/>
      <c r="Q11" s="87"/>
      <c r="R11" s="87"/>
      <c r="S11" s="87"/>
      <c r="T11" s="87"/>
      <c r="U11" s="164"/>
    </row>
    <row r="12" spans="1:21" x14ac:dyDescent="0.25">
      <c r="A12" s="326"/>
      <c r="B12" s="87"/>
      <c r="C12" s="5" t="s">
        <v>248</v>
      </c>
      <c r="D12" s="87"/>
      <c r="E12" s="87"/>
      <c r="F12" s="87"/>
      <c r="G12" s="87"/>
      <c r="H12" s="87"/>
      <c r="I12" s="87"/>
      <c r="J12" s="87"/>
      <c r="K12" s="87"/>
      <c r="L12" s="87"/>
      <c r="M12" s="87"/>
      <c r="N12" s="87"/>
      <c r="O12" s="87"/>
      <c r="P12" s="87"/>
      <c r="Q12" s="87"/>
      <c r="R12" s="87"/>
      <c r="S12" s="87"/>
      <c r="T12" s="87"/>
      <c r="U12" s="164"/>
    </row>
    <row r="13" spans="1:21" x14ac:dyDescent="0.25">
      <c r="A13" s="326"/>
      <c r="B13" s="87"/>
      <c r="C13" s="87"/>
      <c r="D13" s="87"/>
      <c r="E13" s="87"/>
      <c r="F13" s="87"/>
      <c r="G13" s="87"/>
      <c r="H13" s="87"/>
      <c r="I13" s="87"/>
      <c r="J13" s="87"/>
      <c r="K13" s="87"/>
      <c r="L13" s="87"/>
      <c r="M13" s="87"/>
      <c r="N13" s="87"/>
      <c r="O13" s="87"/>
      <c r="P13" s="87"/>
      <c r="Q13" s="87"/>
      <c r="R13" s="87"/>
      <c r="S13" s="87"/>
      <c r="T13" s="87"/>
      <c r="U13" s="164"/>
    </row>
    <row r="14" spans="1:21" x14ac:dyDescent="0.25">
      <c r="A14" s="326"/>
      <c r="B14" s="87"/>
      <c r="C14" s="87"/>
      <c r="D14" s="87"/>
      <c r="E14" s="87"/>
      <c r="F14" s="87"/>
      <c r="G14" s="87"/>
      <c r="H14" s="87"/>
      <c r="I14" s="87"/>
      <c r="J14" s="87"/>
      <c r="K14" s="87"/>
      <c r="L14" s="87"/>
      <c r="M14" s="87"/>
      <c r="N14" s="87"/>
      <c r="O14" s="87"/>
      <c r="P14" s="87"/>
      <c r="Q14" s="87"/>
      <c r="R14" s="87"/>
      <c r="S14" s="87"/>
      <c r="T14" s="87"/>
      <c r="U14" s="164"/>
    </row>
    <row r="15" spans="1:21" x14ac:dyDescent="0.25">
      <c r="A15" s="326"/>
      <c r="B15" s="87"/>
      <c r="C15" s="87"/>
      <c r="D15" s="704" t="s">
        <v>249</v>
      </c>
      <c r="E15" s="704"/>
      <c r="F15" s="704"/>
      <c r="G15" s="704"/>
      <c r="H15" s="87"/>
      <c r="I15" s="87"/>
      <c r="J15" s="704" t="s">
        <v>250</v>
      </c>
      <c r="K15" s="704"/>
      <c r="L15" s="704"/>
      <c r="M15" s="704"/>
      <c r="N15" s="87"/>
      <c r="O15" s="87"/>
      <c r="P15" s="704" t="s">
        <v>251</v>
      </c>
      <c r="Q15" s="704"/>
      <c r="R15" s="704"/>
      <c r="S15" s="704"/>
      <c r="T15" s="87"/>
      <c r="U15" s="164"/>
    </row>
    <row r="16" spans="1:21" x14ac:dyDescent="0.25">
      <c r="A16" s="326"/>
      <c r="B16" s="87"/>
      <c r="C16" s="165"/>
      <c r="D16" s="704" t="s">
        <v>252</v>
      </c>
      <c r="E16" s="704"/>
      <c r="F16" s="704"/>
      <c r="G16" s="704"/>
      <c r="H16" s="87"/>
      <c r="I16" s="165"/>
      <c r="J16" s="704" t="s">
        <v>252</v>
      </c>
      <c r="K16" s="704"/>
      <c r="L16" s="704"/>
      <c r="M16" s="704"/>
      <c r="N16" s="87"/>
      <c r="O16" s="165"/>
      <c r="P16" s="704" t="s">
        <v>253</v>
      </c>
      <c r="Q16" s="704"/>
      <c r="R16" s="704"/>
      <c r="S16" s="704"/>
      <c r="T16" s="87"/>
      <c r="U16" s="164"/>
    </row>
    <row r="17" spans="1:21" x14ac:dyDescent="0.25">
      <c r="A17" s="326"/>
      <c r="B17" s="87"/>
      <c r="C17" s="87"/>
      <c r="D17" s="87"/>
      <c r="E17" s="87"/>
      <c r="F17" s="87"/>
      <c r="G17" s="87"/>
      <c r="H17" s="87"/>
      <c r="I17" s="87"/>
      <c r="J17" s="87"/>
      <c r="K17" s="87"/>
      <c r="L17" s="87"/>
      <c r="M17" s="87"/>
      <c r="N17" s="87"/>
      <c r="O17" s="87"/>
      <c r="P17" s="87"/>
      <c r="Q17" s="87"/>
      <c r="R17" s="87"/>
      <c r="S17" s="87"/>
      <c r="T17" s="87"/>
      <c r="U17" s="164"/>
    </row>
    <row r="18" spans="1:21" x14ac:dyDescent="0.25">
      <c r="A18" s="326"/>
      <c r="B18" s="87"/>
      <c r="C18" s="87"/>
      <c r="D18" s="701" t="s">
        <v>254</v>
      </c>
      <c r="E18" s="702"/>
      <c r="F18" s="701" t="s">
        <v>255</v>
      </c>
      <c r="G18" s="702"/>
      <c r="H18" s="87"/>
      <c r="I18" s="87"/>
      <c r="J18" s="701" t="s">
        <v>254</v>
      </c>
      <c r="K18" s="702"/>
      <c r="L18" s="701" t="s">
        <v>255</v>
      </c>
      <c r="M18" s="702"/>
      <c r="N18" s="87"/>
      <c r="O18" s="87"/>
      <c r="P18" s="701" t="s">
        <v>254</v>
      </c>
      <c r="Q18" s="702"/>
      <c r="R18" s="701" t="s">
        <v>255</v>
      </c>
      <c r="S18" s="702"/>
      <c r="T18" s="87"/>
      <c r="U18" s="164"/>
    </row>
    <row r="19" spans="1:21" x14ac:dyDescent="0.25">
      <c r="A19" s="326"/>
      <c r="B19" s="87"/>
      <c r="C19" s="166" t="s">
        <v>256</v>
      </c>
      <c r="D19" s="166" t="s">
        <v>257</v>
      </c>
      <c r="E19" s="87" t="s">
        <v>258</v>
      </c>
      <c r="F19" s="166" t="s">
        <v>257</v>
      </c>
      <c r="G19" s="166" t="s">
        <v>258</v>
      </c>
      <c r="H19" s="87"/>
      <c r="I19" s="166" t="s">
        <v>256</v>
      </c>
      <c r="J19" s="166" t="s">
        <v>257</v>
      </c>
      <c r="K19" s="87" t="s">
        <v>258</v>
      </c>
      <c r="L19" s="166" t="s">
        <v>257</v>
      </c>
      <c r="M19" s="166" t="s">
        <v>258</v>
      </c>
      <c r="N19" s="87"/>
      <c r="O19" s="166" t="s">
        <v>256</v>
      </c>
      <c r="P19" s="166" t="s">
        <v>257</v>
      </c>
      <c r="Q19" s="87" t="s">
        <v>258</v>
      </c>
      <c r="R19" s="166" t="s">
        <v>257</v>
      </c>
      <c r="S19" s="166" t="s">
        <v>258</v>
      </c>
      <c r="T19" s="87"/>
      <c r="U19" s="164"/>
    </row>
    <row r="20" spans="1:21" x14ac:dyDescent="0.25">
      <c r="A20" s="326"/>
      <c r="B20" s="87"/>
      <c r="C20" s="166">
        <v>50</v>
      </c>
      <c r="D20" s="85">
        <v>-4100</v>
      </c>
      <c r="E20" s="85">
        <v>20400</v>
      </c>
      <c r="F20" s="85">
        <v>-200</v>
      </c>
      <c r="G20" s="85">
        <v>20780</v>
      </c>
      <c r="H20" s="87"/>
      <c r="I20" s="166">
        <v>50</v>
      </c>
      <c r="J20" s="85">
        <v>2600</v>
      </c>
      <c r="K20" s="85">
        <v>11300</v>
      </c>
      <c r="L20" s="85">
        <v>-800</v>
      </c>
      <c r="M20" s="85">
        <v>7800</v>
      </c>
      <c r="N20" s="87"/>
      <c r="O20" s="166">
        <v>50</v>
      </c>
      <c r="P20" s="85">
        <v>-1200</v>
      </c>
      <c r="Q20" s="85">
        <v>25400</v>
      </c>
      <c r="R20" s="85">
        <v>-1700</v>
      </c>
      <c r="S20" s="85">
        <v>27800</v>
      </c>
      <c r="T20" s="87"/>
      <c r="U20" s="164"/>
    </row>
    <row r="21" spans="1:21" x14ac:dyDescent="0.25">
      <c r="A21" s="326"/>
      <c r="B21" s="87"/>
      <c r="C21" s="166">
        <v>55</v>
      </c>
      <c r="D21" s="85">
        <v>4300</v>
      </c>
      <c r="E21" s="85">
        <v>22700</v>
      </c>
      <c r="F21" s="85">
        <v>600</v>
      </c>
      <c r="G21" s="85">
        <v>36670</v>
      </c>
      <c r="H21" s="87"/>
      <c r="I21" s="166">
        <v>55</v>
      </c>
      <c r="J21" s="85">
        <v>4500</v>
      </c>
      <c r="K21" s="85">
        <v>12300</v>
      </c>
      <c r="L21" s="85">
        <v>3200</v>
      </c>
      <c r="M21" s="85">
        <v>18200</v>
      </c>
      <c r="N21" s="87"/>
      <c r="O21" s="166">
        <v>55</v>
      </c>
      <c r="P21" s="85">
        <v>7000</v>
      </c>
      <c r="Q21" s="85">
        <v>28000</v>
      </c>
      <c r="R21" s="85">
        <v>3400</v>
      </c>
      <c r="S21" s="85">
        <v>44100</v>
      </c>
      <c r="T21" s="87"/>
      <c r="U21" s="164"/>
    </row>
    <row r="22" spans="1:21" x14ac:dyDescent="0.25">
      <c r="A22" s="326"/>
      <c r="B22" s="87"/>
      <c r="C22" s="166">
        <v>60</v>
      </c>
      <c r="D22" s="85">
        <v>8300</v>
      </c>
      <c r="E22" s="85">
        <v>24700</v>
      </c>
      <c r="F22" s="85">
        <v>1200</v>
      </c>
      <c r="G22" s="85">
        <v>41040</v>
      </c>
      <c r="H22" s="87"/>
      <c r="I22" s="166">
        <v>60</v>
      </c>
      <c r="J22" s="85">
        <v>6600</v>
      </c>
      <c r="K22" s="85">
        <v>13300</v>
      </c>
      <c r="L22" s="85">
        <v>8700</v>
      </c>
      <c r="M22" s="85">
        <v>23800</v>
      </c>
      <c r="N22" s="87"/>
      <c r="O22" s="166">
        <v>60</v>
      </c>
      <c r="P22" s="85">
        <v>12000</v>
      </c>
      <c r="Q22" s="85">
        <v>30400</v>
      </c>
      <c r="R22" s="85">
        <v>7500</v>
      </c>
      <c r="S22" s="85">
        <v>56200</v>
      </c>
      <c r="T22" s="87"/>
      <c r="U22" s="164"/>
    </row>
    <row r="23" spans="1:21" x14ac:dyDescent="0.25">
      <c r="A23" s="326"/>
      <c r="B23" s="87"/>
      <c r="C23" s="166">
        <v>65</v>
      </c>
      <c r="D23" s="85">
        <v>12300</v>
      </c>
      <c r="E23" s="85">
        <v>27000</v>
      </c>
      <c r="F23" s="85">
        <v>2800</v>
      </c>
      <c r="G23" s="85">
        <v>73040</v>
      </c>
      <c r="H23" s="87"/>
      <c r="I23" s="166">
        <v>65</v>
      </c>
      <c r="J23" s="85">
        <v>7400</v>
      </c>
      <c r="K23" s="85">
        <v>14100</v>
      </c>
      <c r="L23" s="85">
        <v>13600</v>
      </c>
      <c r="M23" s="85">
        <v>35400</v>
      </c>
      <c r="N23" s="87"/>
      <c r="O23" s="166">
        <v>65</v>
      </c>
      <c r="P23" s="85">
        <v>15700</v>
      </c>
      <c r="Q23" s="85">
        <v>32900</v>
      </c>
      <c r="R23" s="85">
        <v>10500</v>
      </c>
      <c r="S23" s="85">
        <v>71900</v>
      </c>
      <c r="T23" s="87"/>
      <c r="U23" s="164"/>
    </row>
    <row r="24" spans="1:21" x14ac:dyDescent="0.25">
      <c r="A24" s="326"/>
      <c r="B24" s="87"/>
      <c r="C24" s="166">
        <v>70</v>
      </c>
      <c r="D24" s="85">
        <v>16200</v>
      </c>
      <c r="E24" s="85">
        <v>28900</v>
      </c>
      <c r="F24" s="85">
        <v>3900</v>
      </c>
      <c r="G24" s="85">
        <v>76870</v>
      </c>
      <c r="H24" s="87"/>
      <c r="I24" s="166">
        <v>70</v>
      </c>
      <c r="J24" s="85">
        <v>9400</v>
      </c>
      <c r="K24" s="85">
        <v>15000</v>
      </c>
      <c r="L24" s="85">
        <v>19000</v>
      </c>
      <c r="M24" s="85">
        <v>36800</v>
      </c>
      <c r="N24" s="87"/>
      <c r="O24" s="166">
        <v>70</v>
      </c>
      <c r="P24" s="85">
        <v>20500</v>
      </c>
      <c r="Q24" s="85">
        <v>35100</v>
      </c>
      <c r="R24" s="85">
        <v>14700</v>
      </c>
      <c r="S24" s="85">
        <v>79000</v>
      </c>
      <c r="T24" s="87"/>
      <c r="U24" s="164"/>
    </row>
    <row r="25" spans="1:21" x14ac:dyDescent="0.25">
      <c r="A25" s="326"/>
      <c r="B25" s="87"/>
      <c r="C25" s="166">
        <v>75</v>
      </c>
      <c r="D25" s="85">
        <v>19100</v>
      </c>
      <c r="E25" s="85">
        <v>31200</v>
      </c>
      <c r="F25" s="85">
        <v>5000</v>
      </c>
      <c r="G25" s="85">
        <v>103530</v>
      </c>
      <c r="H25" s="87"/>
      <c r="I25" s="166">
        <v>75</v>
      </c>
      <c r="J25" s="85">
        <v>11600</v>
      </c>
      <c r="K25" s="85">
        <v>16100</v>
      </c>
      <c r="L25" s="85">
        <v>32500</v>
      </c>
      <c r="M25" s="85">
        <v>51700</v>
      </c>
      <c r="N25" s="87"/>
      <c r="O25" s="166">
        <v>75</v>
      </c>
      <c r="P25" s="85">
        <v>24500</v>
      </c>
      <c r="Q25" s="85">
        <v>37600</v>
      </c>
      <c r="R25" s="85">
        <v>19300</v>
      </c>
      <c r="S25" s="85">
        <v>94200</v>
      </c>
      <c r="T25" s="87"/>
      <c r="U25" s="164"/>
    </row>
    <row r="26" spans="1:21" x14ac:dyDescent="0.25">
      <c r="A26" s="326"/>
      <c r="B26" s="87"/>
      <c r="C26" s="166">
        <v>80</v>
      </c>
      <c r="D26" s="85">
        <v>22900</v>
      </c>
      <c r="E26" s="85">
        <v>33900</v>
      </c>
      <c r="F26" s="85">
        <v>6700</v>
      </c>
      <c r="G26" s="85">
        <v>118820</v>
      </c>
      <c r="H26" s="87"/>
      <c r="I26" s="166">
        <v>80</v>
      </c>
      <c r="J26" s="85">
        <v>13100</v>
      </c>
      <c r="K26" s="85">
        <v>16700</v>
      </c>
      <c r="L26" s="85">
        <v>41500</v>
      </c>
      <c r="M26" s="85">
        <v>54900</v>
      </c>
      <c r="N26" s="87"/>
      <c r="O26" s="166">
        <v>80</v>
      </c>
      <c r="P26" s="85">
        <v>28900</v>
      </c>
      <c r="Q26" s="85">
        <v>40500</v>
      </c>
      <c r="R26" s="85">
        <v>23800</v>
      </c>
      <c r="S26" s="85">
        <v>103700</v>
      </c>
      <c r="T26" s="87"/>
      <c r="U26" s="164"/>
    </row>
    <row r="27" spans="1:21" x14ac:dyDescent="0.25">
      <c r="A27" s="326"/>
      <c r="B27" s="87"/>
      <c r="C27" s="166">
        <v>85</v>
      </c>
      <c r="D27" s="85">
        <v>26100</v>
      </c>
      <c r="E27" s="85">
        <v>37500</v>
      </c>
      <c r="F27" s="85">
        <v>9800</v>
      </c>
      <c r="G27" s="85">
        <v>140660</v>
      </c>
      <c r="H27" s="87"/>
      <c r="I27" s="166">
        <v>85</v>
      </c>
      <c r="J27" s="85">
        <v>15700</v>
      </c>
      <c r="K27" s="85">
        <v>17400</v>
      </c>
      <c r="L27" s="85">
        <v>55200</v>
      </c>
      <c r="M27" s="85">
        <v>66700</v>
      </c>
      <c r="N27" s="87"/>
      <c r="O27" s="166">
        <v>85</v>
      </c>
      <c r="P27" s="85">
        <v>33500</v>
      </c>
      <c r="Q27" s="85">
        <v>43900</v>
      </c>
      <c r="R27" s="85">
        <v>29300</v>
      </c>
      <c r="S27" s="85">
        <v>123500</v>
      </c>
      <c r="T27" s="87"/>
      <c r="U27" s="164"/>
    </row>
    <row r="28" spans="1:21" x14ac:dyDescent="0.25">
      <c r="A28" s="326"/>
      <c r="B28" s="87"/>
      <c r="C28" s="166">
        <v>90</v>
      </c>
      <c r="D28" s="85">
        <v>32200</v>
      </c>
      <c r="E28" s="85">
        <v>40300</v>
      </c>
      <c r="F28" s="85">
        <v>13200</v>
      </c>
      <c r="G28" s="85">
        <v>170560</v>
      </c>
      <c r="H28" s="87"/>
      <c r="I28" s="166">
        <v>90</v>
      </c>
      <c r="J28" s="85">
        <v>17300</v>
      </c>
      <c r="K28" s="85">
        <v>17900</v>
      </c>
      <c r="L28" s="85">
        <v>62400</v>
      </c>
      <c r="M28" s="85">
        <v>65500</v>
      </c>
      <c r="N28" s="87"/>
      <c r="O28" s="166">
        <v>90</v>
      </c>
      <c r="P28" s="85">
        <v>39600</v>
      </c>
      <c r="Q28" s="85">
        <v>46600</v>
      </c>
      <c r="R28" s="85">
        <v>37000</v>
      </c>
      <c r="S28" s="85">
        <v>139700</v>
      </c>
      <c r="T28" s="87"/>
      <c r="U28" s="164"/>
    </row>
    <row r="29" spans="1:21" x14ac:dyDescent="0.25">
      <c r="A29" s="326"/>
      <c r="B29" s="87"/>
      <c r="C29" s="166">
        <v>95</v>
      </c>
      <c r="D29" s="85">
        <v>39800</v>
      </c>
      <c r="E29" s="85">
        <v>45900</v>
      </c>
      <c r="F29" s="85">
        <v>17100</v>
      </c>
      <c r="G29" s="85">
        <v>219190</v>
      </c>
      <c r="H29" s="87"/>
      <c r="I29" s="166">
        <v>95</v>
      </c>
      <c r="J29" s="85">
        <v>17900</v>
      </c>
      <c r="K29" s="85">
        <v>18200</v>
      </c>
      <c r="L29" s="85">
        <v>78800</v>
      </c>
      <c r="M29" s="85">
        <v>91500</v>
      </c>
      <c r="N29" s="87"/>
      <c r="O29" s="166">
        <v>95</v>
      </c>
      <c r="P29" s="85">
        <v>46100</v>
      </c>
      <c r="Q29" s="85">
        <v>51300</v>
      </c>
      <c r="R29" s="85">
        <v>47500</v>
      </c>
      <c r="S29" s="85">
        <v>167900</v>
      </c>
      <c r="T29" s="87"/>
      <c r="U29" s="164"/>
    </row>
    <row r="30" spans="1:21" x14ac:dyDescent="0.25">
      <c r="A30" s="326"/>
      <c r="B30" s="87"/>
      <c r="C30" s="87"/>
      <c r="D30" s="87"/>
      <c r="E30" s="87"/>
      <c r="F30" s="87"/>
      <c r="G30" s="87"/>
      <c r="H30" s="87"/>
      <c r="I30" s="87"/>
      <c r="J30" s="87"/>
      <c r="K30" s="87"/>
      <c r="L30" s="87"/>
      <c r="M30" s="87"/>
      <c r="N30" s="87"/>
      <c r="O30" s="87"/>
      <c r="P30" s="87"/>
      <c r="Q30" s="87"/>
      <c r="R30" s="87"/>
      <c r="S30" s="87"/>
      <c r="T30" s="87"/>
      <c r="U30" s="164"/>
    </row>
    <row r="31" spans="1:21" x14ac:dyDescent="0.25">
      <c r="A31" s="326"/>
      <c r="B31" s="87"/>
      <c r="C31" s="87"/>
      <c r="D31" s="87"/>
      <c r="E31" s="87"/>
      <c r="F31" s="87"/>
      <c r="G31" s="87"/>
      <c r="H31" s="87"/>
      <c r="I31" s="87"/>
      <c r="J31" s="87"/>
      <c r="K31" s="87"/>
      <c r="L31" s="87"/>
      <c r="M31" s="87"/>
      <c r="N31" s="87"/>
      <c r="O31" s="87"/>
      <c r="P31" s="87"/>
      <c r="Q31" s="87"/>
      <c r="R31" s="87"/>
      <c r="S31" s="87"/>
      <c r="T31" s="87"/>
      <c r="U31" s="164"/>
    </row>
    <row r="32" spans="1:21" x14ac:dyDescent="0.25">
      <c r="A32" s="326"/>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4"/>
    </row>
    <row r="33" spans="1:21" x14ac:dyDescent="0.25">
      <c r="A33" s="326"/>
      <c r="B33" s="87"/>
      <c r="C33" s="87"/>
      <c r="D33" s="87"/>
      <c r="E33" s="87"/>
      <c r="F33" s="87"/>
      <c r="G33" s="87"/>
      <c r="H33" s="87"/>
      <c r="I33" s="87"/>
      <c r="J33" s="87"/>
      <c r="K33" s="87"/>
      <c r="L33" s="87"/>
      <c r="M33" s="87"/>
      <c r="N33" s="87"/>
      <c r="O33" s="87"/>
      <c r="P33" s="87"/>
      <c r="Q33" s="87"/>
      <c r="R33" s="87"/>
      <c r="S33" s="87"/>
      <c r="T33" s="87"/>
      <c r="U33" s="164"/>
    </row>
    <row r="34" spans="1:21" x14ac:dyDescent="0.25">
      <c r="A34" s="326"/>
      <c r="B34" s="87"/>
      <c r="C34" s="87"/>
      <c r="D34" s="87"/>
      <c r="E34" s="87"/>
      <c r="F34" s="87"/>
      <c r="G34" s="87"/>
      <c r="H34" s="87"/>
      <c r="I34" s="87"/>
      <c r="J34" s="87"/>
      <c r="K34" s="87"/>
      <c r="L34" s="87"/>
      <c r="M34" s="87"/>
      <c r="N34" s="87"/>
      <c r="O34" s="87"/>
      <c r="P34" s="87"/>
      <c r="Q34" s="87"/>
      <c r="R34" s="87"/>
      <c r="S34" s="87"/>
      <c r="T34" s="87"/>
      <c r="U34" s="164"/>
    </row>
    <row r="35" spans="1:21" x14ac:dyDescent="0.25">
      <c r="A35" s="325" t="s">
        <v>13</v>
      </c>
      <c r="B35" s="260" t="s">
        <v>25</v>
      </c>
      <c r="C35" s="261" t="s">
        <v>262</v>
      </c>
      <c r="D35" s="87"/>
      <c r="E35" s="87"/>
      <c r="F35" s="87"/>
      <c r="G35" s="87"/>
      <c r="H35" s="87"/>
      <c r="I35" s="87"/>
      <c r="J35" s="87"/>
      <c r="K35" s="87"/>
      <c r="L35" s="87"/>
      <c r="M35" s="87"/>
      <c r="N35" s="87"/>
      <c r="O35" s="87"/>
      <c r="P35" s="87"/>
      <c r="Q35" s="87"/>
      <c r="R35" s="87"/>
      <c r="S35" s="87"/>
      <c r="T35" s="87"/>
      <c r="U35" s="164"/>
    </row>
    <row r="36" spans="1:21" x14ac:dyDescent="0.25">
      <c r="A36" s="326"/>
      <c r="B36" s="87"/>
      <c r="C36" s="87"/>
      <c r="D36" s="87"/>
      <c r="E36" s="87"/>
      <c r="F36" s="87"/>
      <c r="G36" s="87"/>
      <c r="H36" s="87"/>
      <c r="I36" s="87"/>
      <c r="J36" s="87"/>
      <c r="K36" s="87"/>
      <c r="L36" s="87"/>
      <c r="M36" s="87"/>
      <c r="N36" s="87"/>
      <c r="O36" s="87"/>
      <c r="P36" s="87"/>
      <c r="Q36" s="87"/>
      <c r="R36" s="87"/>
      <c r="S36" s="87"/>
      <c r="T36" s="87"/>
      <c r="U36" s="164"/>
    </row>
    <row r="37" spans="1:21" x14ac:dyDescent="0.25">
      <c r="A37" s="325" t="s">
        <v>27</v>
      </c>
      <c r="B37" s="260" t="s">
        <v>0</v>
      </c>
      <c r="C37" s="5" t="s">
        <v>263</v>
      </c>
      <c r="D37" s="87"/>
      <c r="E37" s="87"/>
      <c r="F37" s="87"/>
      <c r="G37" s="87"/>
      <c r="H37" s="87"/>
      <c r="I37" s="87"/>
      <c r="J37" s="87"/>
      <c r="K37" s="87"/>
      <c r="L37" s="87"/>
      <c r="M37" s="87"/>
      <c r="N37" s="87"/>
      <c r="O37" s="87"/>
      <c r="P37" s="87"/>
      <c r="Q37" s="87"/>
      <c r="R37" s="87"/>
      <c r="S37" s="87"/>
      <c r="T37" s="87"/>
      <c r="U37" s="164"/>
    </row>
    <row r="38" spans="1:21" x14ac:dyDescent="0.25">
      <c r="A38" s="326"/>
      <c r="B38" s="87"/>
      <c r="C38" s="87"/>
      <c r="D38" s="87"/>
      <c r="E38" s="87"/>
      <c r="F38" s="87"/>
      <c r="G38" s="87"/>
      <c r="H38" s="87"/>
      <c r="I38" s="87"/>
      <c r="J38" s="87"/>
      <c r="K38" s="87"/>
      <c r="L38" s="87"/>
      <c r="M38" s="87"/>
      <c r="N38" s="87"/>
      <c r="O38" s="87"/>
      <c r="P38" s="87"/>
      <c r="Q38" s="87"/>
      <c r="R38" s="87"/>
      <c r="S38" s="87"/>
      <c r="T38" s="87"/>
      <c r="U38" s="164"/>
    </row>
    <row r="39" spans="1:21" x14ac:dyDescent="0.25">
      <c r="A39" s="325" t="s">
        <v>133</v>
      </c>
      <c r="B39" s="260" t="s">
        <v>0</v>
      </c>
      <c r="C39" s="5" t="s">
        <v>264</v>
      </c>
      <c r="D39" s="87"/>
      <c r="E39" s="87"/>
      <c r="F39" s="87"/>
      <c r="G39" s="87"/>
      <c r="H39" s="87"/>
      <c r="I39" s="87"/>
      <c r="J39" s="87"/>
      <c r="K39" s="87"/>
      <c r="L39" s="87"/>
      <c r="M39" s="87"/>
      <c r="N39" s="87"/>
      <c r="O39" s="87"/>
      <c r="P39" s="87"/>
      <c r="Q39" s="87"/>
      <c r="R39" s="87"/>
      <c r="S39" s="87"/>
      <c r="T39" s="87"/>
      <c r="U39" s="164"/>
    </row>
    <row r="40" spans="1:21" x14ac:dyDescent="0.25">
      <c r="A40" s="326"/>
      <c r="B40" s="87"/>
      <c r="C40" s="87"/>
      <c r="D40" s="87"/>
      <c r="E40" s="87"/>
      <c r="F40" s="87"/>
      <c r="G40" s="87"/>
      <c r="H40" s="87"/>
      <c r="I40" s="87"/>
      <c r="J40" s="87"/>
      <c r="K40" s="87"/>
      <c r="L40" s="87"/>
      <c r="M40" s="87"/>
      <c r="N40" s="87"/>
      <c r="O40" s="87"/>
      <c r="P40" s="87"/>
      <c r="Q40" s="87"/>
      <c r="R40" s="87"/>
      <c r="S40" s="87"/>
      <c r="T40" s="87"/>
      <c r="U40" s="164"/>
    </row>
    <row r="41" spans="1:21" x14ac:dyDescent="0.25">
      <c r="A41" s="325" t="s">
        <v>265</v>
      </c>
      <c r="B41" s="260" t="s">
        <v>162</v>
      </c>
      <c r="C41" s="5" t="s">
        <v>266</v>
      </c>
      <c r="D41" s="87"/>
      <c r="E41" s="87"/>
      <c r="F41" s="87"/>
      <c r="G41" s="87"/>
      <c r="H41" s="87"/>
      <c r="I41" s="87"/>
      <c r="J41" s="85">
        <v>900000</v>
      </c>
      <c r="K41" s="87"/>
      <c r="L41" s="87"/>
      <c r="M41" s="87"/>
      <c r="N41" s="87"/>
      <c r="O41" s="87"/>
      <c r="P41" s="87"/>
      <c r="Q41" s="87"/>
      <c r="R41" s="87"/>
      <c r="S41" s="87"/>
      <c r="T41" s="87"/>
      <c r="U41" s="164"/>
    </row>
    <row r="42" spans="1:21" x14ac:dyDescent="0.25">
      <c r="A42" s="326"/>
      <c r="B42" s="87"/>
      <c r="C42" s="5" t="s">
        <v>267</v>
      </c>
      <c r="D42" s="87"/>
      <c r="E42" s="87"/>
      <c r="F42" s="87"/>
      <c r="G42" s="87"/>
      <c r="H42" s="87"/>
      <c r="I42" s="87"/>
      <c r="J42" s="87"/>
      <c r="K42" s="87"/>
      <c r="L42" s="87"/>
      <c r="M42" s="87"/>
      <c r="N42" s="87"/>
      <c r="O42" s="87"/>
      <c r="P42" s="87"/>
      <c r="Q42" s="87"/>
      <c r="R42" s="87"/>
      <c r="S42" s="87"/>
      <c r="T42" s="87"/>
      <c r="U42" s="164"/>
    </row>
    <row r="43" spans="1:21" x14ac:dyDescent="0.25">
      <c r="A43" s="326"/>
      <c r="B43" s="87"/>
      <c r="C43" s="87"/>
      <c r="D43" s="87"/>
      <c r="E43" s="87"/>
      <c r="F43" s="87"/>
      <c r="G43" s="87"/>
      <c r="H43" s="87"/>
      <c r="I43" s="87"/>
      <c r="J43" s="87"/>
      <c r="K43" s="87"/>
      <c r="L43" s="87"/>
      <c r="M43" s="87"/>
      <c r="N43" s="87"/>
      <c r="O43" s="87"/>
      <c r="P43" s="87"/>
      <c r="Q43" s="87"/>
      <c r="R43" s="87"/>
      <c r="S43" s="87"/>
      <c r="T43" s="87"/>
      <c r="U43" s="164"/>
    </row>
    <row r="44" spans="1:21" x14ac:dyDescent="0.25">
      <c r="A44" s="326"/>
      <c r="B44" s="87"/>
      <c r="C44" s="165" t="s">
        <v>268</v>
      </c>
      <c r="D44" s="165"/>
      <c r="E44" s="165"/>
      <c r="F44" s="87"/>
      <c r="G44" s="87"/>
      <c r="H44" s="87"/>
      <c r="I44" s="87"/>
      <c r="J44" s="87"/>
      <c r="K44" s="87"/>
      <c r="L44" s="87"/>
      <c r="M44" s="87"/>
      <c r="N44" s="87"/>
      <c r="O44" s="87"/>
      <c r="P44" s="87"/>
      <c r="Q44" s="87"/>
      <c r="R44" s="87"/>
      <c r="S44" s="87"/>
      <c r="T44" s="87"/>
      <c r="U44" s="164"/>
    </row>
    <row r="45" spans="1:21" x14ac:dyDescent="0.25">
      <c r="A45" s="326"/>
      <c r="B45" s="87"/>
      <c r="C45" s="165"/>
      <c r="D45" s="165"/>
      <c r="E45" s="165"/>
      <c r="F45" s="87"/>
      <c r="G45" s="87"/>
      <c r="H45" s="87"/>
      <c r="I45" s="87"/>
      <c r="J45" s="87"/>
      <c r="K45" s="87"/>
      <c r="L45" s="87"/>
      <c r="M45" s="87"/>
      <c r="N45" s="87"/>
      <c r="O45" s="87"/>
      <c r="P45" s="87"/>
      <c r="Q45" s="87"/>
      <c r="R45" s="87"/>
      <c r="S45" s="87"/>
      <c r="T45" s="87"/>
      <c r="U45" s="164"/>
    </row>
    <row r="46" spans="1:21" x14ac:dyDescent="0.25">
      <c r="A46" s="326"/>
      <c r="B46" s="87"/>
      <c r="C46" s="167" t="s">
        <v>80</v>
      </c>
      <c r="D46" s="168"/>
      <c r="E46" s="169">
        <v>2024</v>
      </c>
      <c r="F46" s="170">
        <v>2025</v>
      </c>
      <c r="G46" s="170">
        <v>2026</v>
      </c>
      <c r="H46" s="171">
        <v>2027</v>
      </c>
      <c r="I46" s="87"/>
      <c r="J46" s="87"/>
      <c r="K46" s="87"/>
      <c r="L46" s="87"/>
      <c r="M46" s="87"/>
      <c r="N46" s="87"/>
      <c r="O46" s="87"/>
      <c r="P46" s="87"/>
      <c r="Q46" s="87"/>
      <c r="R46" s="87"/>
      <c r="S46" s="87"/>
      <c r="T46" s="87"/>
      <c r="U46" s="164"/>
    </row>
    <row r="47" spans="1:21" x14ac:dyDescent="0.25">
      <c r="A47" s="326"/>
      <c r="B47" s="87"/>
      <c r="C47" s="167" t="s">
        <v>269</v>
      </c>
      <c r="D47" s="168"/>
      <c r="E47" s="172">
        <v>0.4</v>
      </c>
      <c r="F47" s="173">
        <v>0.65</v>
      </c>
      <c r="G47" s="173">
        <v>0.85000000000000009</v>
      </c>
      <c r="H47" s="174">
        <v>1</v>
      </c>
      <c r="I47" s="87"/>
      <c r="J47" s="87"/>
      <c r="K47" s="87"/>
      <c r="L47" s="87"/>
      <c r="M47" s="87"/>
      <c r="N47" s="87"/>
      <c r="O47" s="87"/>
      <c r="P47" s="87"/>
      <c r="Q47" s="87"/>
      <c r="R47" s="87"/>
      <c r="S47" s="87"/>
      <c r="T47" s="87"/>
      <c r="U47" s="164"/>
    </row>
    <row r="48" spans="1:21" x14ac:dyDescent="0.25">
      <c r="A48" s="326"/>
      <c r="B48" s="87"/>
      <c r="C48" s="87"/>
      <c r="D48" s="87"/>
      <c r="E48" s="329"/>
      <c r="F48" s="329"/>
      <c r="G48" s="87"/>
      <c r="H48" s="87"/>
      <c r="I48" s="87"/>
      <c r="J48" s="87"/>
      <c r="K48" s="87"/>
      <c r="L48" s="87"/>
      <c r="M48" s="87"/>
      <c r="N48" s="87"/>
      <c r="O48" s="87"/>
      <c r="P48" s="87"/>
      <c r="Q48" s="87"/>
      <c r="R48" s="87"/>
      <c r="S48" s="87"/>
      <c r="T48" s="87"/>
      <c r="U48" s="164"/>
    </row>
    <row r="49" spans="1:21" x14ac:dyDescent="0.25">
      <c r="A49" s="326"/>
      <c r="B49" s="87"/>
      <c r="C49" s="5" t="s">
        <v>83</v>
      </c>
      <c r="D49" s="87"/>
      <c r="E49" s="87"/>
      <c r="F49" s="87"/>
      <c r="G49" s="87"/>
      <c r="H49" s="87"/>
      <c r="I49" s="87"/>
      <c r="J49" s="87"/>
      <c r="K49" s="87"/>
      <c r="L49" s="87"/>
      <c r="M49" s="87"/>
      <c r="N49" s="87"/>
      <c r="O49" s="87"/>
      <c r="P49" s="87"/>
      <c r="Q49" s="87"/>
      <c r="R49" s="87"/>
      <c r="S49" s="87"/>
      <c r="T49" s="87"/>
      <c r="U49" s="164"/>
    </row>
    <row r="50" spans="1:21" x14ac:dyDescent="0.25">
      <c r="A50" s="326"/>
      <c r="B50" s="87"/>
      <c r="C50" s="167" t="s">
        <v>108</v>
      </c>
      <c r="D50" s="168"/>
      <c r="E50" s="175">
        <v>0.5</v>
      </c>
      <c r="F50" s="176">
        <v>1.5</v>
      </c>
      <c r="G50" s="176">
        <v>2.5</v>
      </c>
      <c r="H50" s="168">
        <v>3.5</v>
      </c>
      <c r="I50" s="87"/>
      <c r="J50" s="87"/>
      <c r="K50" s="87"/>
      <c r="L50" s="87"/>
      <c r="M50" s="87"/>
      <c r="N50" s="87"/>
      <c r="O50" s="87"/>
      <c r="P50" s="87"/>
      <c r="Q50" s="87"/>
      <c r="R50" s="87"/>
      <c r="S50" s="87"/>
      <c r="T50" s="87"/>
      <c r="U50" s="164"/>
    </row>
    <row r="51" spans="1:21" x14ac:dyDescent="0.25">
      <c r="A51" s="326"/>
      <c r="B51" s="87"/>
      <c r="C51" s="167" t="s">
        <v>85</v>
      </c>
      <c r="D51" s="168"/>
      <c r="E51" s="177">
        <v>2.4E-2</v>
      </c>
      <c r="F51" s="178">
        <v>2.5000000000000001E-2</v>
      </c>
      <c r="G51" s="178">
        <v>2.5999999999999999E-2</v>
      </c>
      <c r="H51" s="179">
        <v>2.8000000000000001E-2</v>
      </c>
      <c r="I51" s="87"/>
      <c r="J51" s="87"/>
      <c r="K51" s="87"/>
      <c r="L51" s="87"/>
      <c r="M51" s="87"/>
      <c r="N51" s="87"/>
      <c r="O51" s="87"/>
      <c r="P51" s="87"/>
      <c r="Q51" s="87"/>
      <c r="R51" s="87"/>
      <c r="S51" s="87"/>
      <c r="T51" s="87"/>
      <c r="U51" s="164"/>
    </row>
    <row r="52" spans="1:21" x14ac:dyDescent="0.25">
      <c r="A52" s="326"/>
      <c r="B52" s="87"/>
      <c r="C52" s="87"/>
      <c r="D52" s="87"/>
      <c r="E52" s="87"/>
      <c r="F52" s="87"/>
      <c r="G52" s="87"/>
      <c r="H52" s="87"/>
      <c r="I52" s="87"/>
      <c r="J52" s="87"/>
      <c r="K52" s="87"/>
      <c r="L52" s="87"/>
      <c r="M52" s="87"/>
      <c r="N52" s="87"/>
      <c r="O52" s="87"/>
      <c r="P52" s="87"/>
      <c r="Q52" s="87"/>
      <c r="R52" s="87"/>
      <c r="S52" s="87"/>
      <c r="T52" s="87"/>
      <c r="U52" s="164"/>
    </row>
    <row r="53" spans="1:21" x14ac:dyDescent="0.25">
      <c r="A53" s="326"/>
      <c r="B53" s="87"/>
      <c r="C53" s="5" t="s">
        <v>270</v>
      </c>
      <c r="D53" s="87"/>
      <c r="E53" s="87"/>
      <c r="F53" s="87"/>
      <c r="G53" s="87"/>
      <c r="H53" s="87"/>
      <c r="I53" s="87"/>
      <c r="J53" s="87"/>
      <c r="K53" s="87"/>
      <c r="L53" s="87"/>
      <c r="M53" s="87"/>
      <c r="N53" s="87"/>
      <c r="O53" s="87"/>
      <c r="P53" s="87"/>
      <c r="Q53" s="87"/>
      <c r="R53" s="87"/>
      <c r="S53" s="87"/>
      <c r="T53" s="87"/>
      <c r="U53" s="164"/>
    </row>
    <row r="54" spans="1:21" x14ac:dyDescent="0.25">
      <c r="A54" s="326"/>
      <c r="B54" s="87"/>
      <c r="C54" s="5" t="s">
        <v>271</v>
      </c>
      <c r="D54" s="87"/>
      <c r="E54" s="87"/>
      <c r="F54" s="87"/>
      <c r="G54" s="87"/>
      <c r="H54" s="87"/>
      <c r="I54" s="87"/>
      <c r="J54" s="87"/>
      <c r="K54" s="87"/>
      <c r="L54" s="87"/>
      <c r="M54" s="87"/>
      <c r="N54" s="87"/>
      <c r="O54" s="87"/>
      <c r="P54" s="87"/>
      <c r="Q54" s="87"/>
      <c r="R54" s="87"/>
      <c r="S54" s="87"/>
      <c r="T54" s="87"/>
      <c r="U54" s="164"/>
    </row>
    <row r="55" spans="1:21" x14ac:dyDescent="0.25">
      <c r="A55" s="326"/>
      <c r="B55" s="87"/>
      <c r="C55" s="5"/>
      <c r="D55" s="87"/>
      <c r="E55" s="87"/>
      <c r="F55" s="87"/>
      <c r="G55" s="87"/>
      <c r="H55" s="87"/>
      <c r="I55" s="87"/>
      <c r="J55" s="87"/>
      <c r="K55" s="87"/>
      <c r="L55" s="87"/>
      <c r="M55" s="87"/>
      <c r="N55" s="87"/>
      <c r="O55" s="87"/>
      <c r="P55" s="87"/>
      <c r="Q55" s="87"/>
      <c r="R55" s="87"/>
      <c r="S55" s="87"/>
      <c r="T55" s="87"/>
      <c r="U55" s="164"/>
    </row>
    <row r="56" spans="1:21" x14ac:dyDescent="0.25">
      <c r="A56" s="326"/>
      <c r="B56" s="87"/>
      <c r="C56" s="5" t="s">
        <v>272</v>
      </c>
      <c r="D56" s="87"/>
      <c r="E56" s="87"/>
      <c r="F56" s="87"/>
      <c r="G56" s="87"/>
      <c r="H56" s="87"/>
      <c r="I56" s="87"/>
      <c r="J56" s="87"/>
      <c r="K56" s="87"/>
      <c r="L56" s="87"/>
      <c r="M56" s="87"/>
      <c r="N56" s="87"/>
      <c r="O56" s="87"/>
      <c r="P56" s="87"/>
      <c r="Q56" s="87"/>
      <c r="R56" s="87"/>
      <c r="S56" s="87"/>
      <c r="T56" s="87"/>
      <c r="U56" s="164"/>
    </row>
    <row r="57" spans="1:21" x14ac:dyDescent="0.25">
      <c r="A57" s="326"/>
      <c r="B57" s="87"/>
      <c r="C57" s="5" t="s">
        <v>273</v>
      </c>
      <c r="D57" s="87"/>
      <c r="E57" s="87"/>
      <c r="F57" s="87"/>
      <c r="G57" s="87"/>
      <c r="H57" s="87"/>
      <c r="I57" s="87"/>
      <c r="J57" s="87"/>
      <c r="K57" s="87"/>
      <c r="L57" s="87"/>
      <c r="M57" s="87"/>
      <c r="N57" s="87"/>
      <c r="O57" s="87"/>
      <c r="P57" s="87"/>
      <c r="Q57" s="87"/>
      <c r="R57" s="87"/>
      <c r="S57" s="87"/>
      <c r="T57" s="87"/>
      <c r="U57" s="164"/>
    </row>
    <row r="58" spans="1:21" x14ac:dyDescent="0.25">
      <c r="A58" s="326"/>
      <c r="B58" s="87"/>
      <c r="C58" s="5"/>
      <c r="D58" s="87"/>
      <c r="E58" s="87"/>
      <c r="F58" s="87"/>
      <c r="G58" s="87"/>
      <c r="H58" s="87"/>
      <c r="I58" s="87"/>
      <c r="J58" s="87"/>
      <c r="K58" s="87"/>
      <c r="L58" s="87"/>
      <c r="M58" s="87"/>
      <c r="N58" s="87"/>
      <c r="O58" s="87"/>
      <c r="P58" s="87"/>
      <c r="Q58" s="87"/>
      <c r="R58" s="87"/>
      <c r="S58" s="87"/>
      <c r="T58" s="87"/>
      <c r="U58" s="164"/>
    </row>
    <row r="59" spans="1:21" x14ac:dyDescent="0.25">
      <c r="A59" s="326"/>
      <c r="B59" s="87"/>
      <c r="C59" s="263" t="s">
        <v>274</v>
      </c>
      <c r="D59" s="87"/>
      <c r="E59" s="87"/>
      <c r="F59" s="87"/>
      <c r="G59" s="87"/>
      <c r="H59" s="87"/>
      <c r="I59" s="87"/>
      <c r="J59" s="87"/>
      <c r="K59" s="87"/>
      <c r="L59" s="87"/>
      <c r="M59" s="87"/>
      <c r="N59" s="87"/>
      <c r="O59" s="87"/>
      <c r="P59" s="87"/>
      <c r="Q59" s="87"/>
      <c r="R59" s="87"/>
      <c r="S59" s="87"/>
      <c r="T59" s="87"/>
      <c r="U59" s="164"/>
    </row>
    <row r="60" spans="1:21" x14ac:dyDescent="0.25">
      <c r="A60" s="326"/>
      <c r="B60" s="87"/>
      <c r="C60" s="87"/>
      <c r="D60" s="87"/>
      <c r="E60" s="87"/>
      <c r="F60" s="87"/>
      <c r="G60" s="87"/>
      <c r="H60" s="87"/>
      <c r="I60" s="87"/>
      <c r="J60" s="87"/>
      <c r="K60" s="87"/>
      <c r="L60" s="87"/>
      <c r="M60" s="87"/>
      <c r="N60" s="87"/>
      <c r="O60" s="87"/>
      <c r="P60" s="87"/>
      <c r="Q60" s="87"/>
      <c r="R60" s="87"/>
      <c r="S60" s="87"/>
      <c r="T60" s="87"/>
      <c r="U60" s="164"/>
    </row>
    <row r="61" spans="1:21" x14ac:dyDescent="0.25">
      <c r="A61" s="326"/>
      <c r="B61" s="87"/>
      <c r="C61" s="5" t="s">
        <v>275</v>
      </c>
      <c r="D61" s="87"/>
      <c r="E61" s="166" t="s">
        <v>276</v>
      </c>
      <c r="F61" s="87"/>
      <c r="G61" s="87"/>
      <c r="H61" s="87"/>
      <c r="I61" s="87"/>
      <c r="J61" s="87"/>
      <c r="K61" s="87"/>
      <c r="L61" s="87"/>
      <c r="M61" s="87"/>
      <c r="N61" s="87"/>
      <c r="O61" s="87"/>
      <c r="P61" s="87"/>
      <c r="Q61" s="87"/>
      <c r="R61" s="87"/>
      <c r="S61" s="87"/>
      <c r="T61" s="87"/>
      <c r="U61" s="164"/>
    </row>
    <row r="62" spans="1:21" x14ac:dyDescent="0.25">
      <c r="A62" s="326"/>
      <c r="B62" s="87"/>
      <c r="C62" s="5" t="s">
        <v>277</v>
      </c>
      <c r="D62" s="87"/>
      <c r="E62" s="166" t="s">
        <v>278</v>
      </c>
      <c r="F62" s="87"/>
      <c r="G62" s="87"/>
      <c r="H62" s="87"/>
      <c r="I62" s="87"/>
      <c r="J62" s="87"/>
      <c r="K62" s="87"/>
      <c r="L62" s="87"/>
      <c r="M62" s="87"/>
      <c r="N62" s="87"/>
      <c r="O62" s="87"/>
      <c r="P62" s="87"/>
      <c r="Q62" s="87"/>
      <c r="R62" s="87"/>
      <c r="S62" s="87"/>
      <c r="T62" s="87"/>
      <c r="U62" s="164"/>
    </row>
    <row r="63" spans="1:21" x14ac:dyDescent="0.25">
      <c r="A63" s="326"/>
      <c r="B63" s="87"/>
      <c r="C63" s="5" t="s">
        <v>279</v>
      </c>
      <c r="D63" s="87"/>
      <c r="E63" s="166" t="s">
        <v>280</v>
      </c>
      <c r="F63" s="87"/>
      <c r="G63" s="87"/>
      <c r="H63" s="87"/>
      <c r="I63" s="87"/>
      <c r="J63" s="87"/>
      <c r="K63" s="87"/>
      <c r="L63" s="87"/>
      <c r="M63" s="87"/>
      <c r="N63" s="87"/>
      <c r="O63" s="87"/>
      <c r="P63" s="87"/>
      <c r="Q63" s="87"/>
      <c r="R63" s="87"/>
      <c r="S63" s="87"/>
      <c r="T63" s="87"/>
      <c r="U63" s="164"/>
    </row>
    <row r="64" spans="1:21" x14ac:dyDescent="0.25">
      <c r="A64" s="326"/>
      <c r="B64" s="87"/>
      <c r="C64" s="5" t="s">
        <v>96</v>
      </c>
      <c r="D64" s="87"/>
      <c r="E64" s="166" t="s">
        <v>281</v>
      </c>
      <c r="F64" s="87"/>
      <c r="G64" s="87"/>
      <c r="H64" s="87"/>
      <c r="I64" s="87"/>
      <c r="J64" s="87"/>
      <c r="K64" s="87"/>
      <c r="L64" s="87"/>
      <c r="M64" s="87"/>
      <c r="N64" s="87"/>
      <c r="O64" s="87"/>
      <c r="P64" s="87"/>
      <c r="Q64" s="87"/>
      <c r="R64" s="87"/>
      <c r="S64" s="87"/>
      <c r="T64" s="87"/>
      <c r="U64" s="164"/>
    </row>
    <row r="65" spans="1:21" x14ac:dyDescent="0.25">
      <c r="A65" s="326"/>
      <c r="B65" s="87"/>
      <c r="C65" s="87"/>
      <c r="D65" s="87"/>
      <c r="E65" s="87"/>
      <c r="F65" s="87"/>
      <c r="G65" s="87"/>
      <c r="H65" s="87"/>
      <c r="I65" s="87"/>
      <c r="J65" s="87"/>
      <c r="K65" s="87"/>
      <c r="L65" s="87"/>
      <c r="M65" s="87"/>
      <c r="N65" s="87"/>
      <c r="O65" s="87"/>
      <c r="P65" s="87"/>
      <c r="Q65" s="87"/>
      <c r="R65" s="87"/>
      <c r="S65" s="87"/>
      <c r="T65" s="87"/>
      <c r="U65" s="164"/>
    </row>
    <row r="66" spans="1:21" x14ac:dyDescent="0.25">
      <c r="A66" s="325" t="s">
        <v>282</v>
      </c>
      <c r="B66" s="260" t="s">
        <v>283</v>
      </c>
      <c r="C66" s="5" t="s">
        <v>284</v>
      </c>
      <c r="D66" s="87"/>
      <c r="E66" s="87"/>
      <c r="F66" s="87"/>
      <c r="G66" s="87"/>
      <c r="H66" s="87"/>
      <c r="I66" s="87"/>
      <c r="J66" s="87"/>
      <c r="K66" s="87"/>
      <c r="L66" s="87"/>
      <c r="M66" s="87"/>
      <c r="N66" s="87"/>
      <c r="O66" s="87"/>
      <c r="P66" s="265">
        <v>2.5000000000000001E-3</v>
      </c>
      <c r="Q66" s="87"/>
      <c r="R66" s="87"/>
      <c r="S66" s="87"/>
      <c r="T66" s="87"/>
      <c r="U66" s="164"/>
    </row>
    <row r="67" spans="1:21" ht="15.75" thickBot="1" x14ac:dyDescent="0.3">
      <c r="A67" s="326"/>
      <c r="B67" s="87"/>
      <c r="C67" s="87"/>
      <c r="D67" s="87"/>
      <c r="E67" s="87"/>
      <c r="F67" s="87"/>
      <c r="G67" s="87"/>
      <c r="H67" s="87"/>
      <c r="I67" s="87"/>
      <c r="J67" s="87"/>
      <c r="K67" s="87"/>
      <c r="L67" s="87"/>
      <c r="M67" s="87"/>
      <c r="N67" s="87"/>
      <c r="O67" s="87"/>
      <c r="P67" s="87"/>
      <c r="Q67" s="87"/>
      <c r="R67" s="87"/>
      <c r="S67" s="87"/>
      <c r="T67" s="87"/>
      <c r="U67" s="164"/>
    </row>
    <row r="68" spans="1:21" ht="15.75" thickBot="1" x14ac:dyDescent="0.3">
      <c r="A68" s="327" t="s">
        <v>137</v>
      </c>
      <c r="B68" s="30"/>
      <c r="C68" s="180"/>
      <c r="D68" s="1"/>
      <c r="E68" s="1"/>
      <c r="F68" s="1"/>
      <c r="G68" s="1"/>
      <c r="H68" s="2"/>
      <c r="I68" s="181"/>
      <c r="J68" s="182"/>
      <c r="K68" s="182"/>
      <c r="L68" s="182"/>
      <c r="M68" s="182"/>
      <c r="N68" s="182"/>
      <c r="O68" s="182"/>
      <c r="P68" s="182"/>
      <c r="Q68" s="182"/>
      <c r="R68" s="182"/>
      <c r="S68" s="182"/>
      <c r="T68" s="182"/>
      <c r="U68" s="183"/>
    </row>
    <row r="70" spans="1:21" x14ac:dyDescent="0.25">
      <c r="A70" s="328"/>
      <c r="B70" s="29"/>
      <c r="C70" s="29"/>
      <c r="D70" s="29"/>
      <c r="E70" s="29"/>
      <c r="F70" s="29"/>
      <c r="G70" s="29"/>
      <c r="H70" s="29"/>
      <c r="I70" s="29"/>
      <c r="J70" s="29"/>
      <c r="K70" s="29"/>
      <c r="L70" s="29"/>
      <c r="M70" s="29"/>
      <c r="N70" s="29"/>
      <c r="O70" s="29"/>
      <c r="P70" s="29"/>
      <c r="Q70" s="29"/>
      <c r="R70" s="29"/>
      <c r="S70" s="29"/>
      <c r="T70" s="29"/>
      <c r="U70" s="29"/>
    </row>
    <row r="71" spans="1:21" x14ac:dyDescent="0.25">
      <c r="A71" s="104">
        <v>0.5</v>
      </c>
      <c r="B71" s="94" t="s">
        <v>13</v>
      </c>
      <c r="C71" s="266" t="s">
        <v>285</v>
      </c>
      <c r="D71" s="29"/>
      <c r="E71" s="29"/>
      <c r="F71" s="29"/>
      <c r="G71" s="29"/>
      <c r="H71" s="29"/>
      <c r="I71" s="29"/>
      <c r="J71" s="29"/>
      <c r="K71" s="29"/>
      <c r="L71" s="29"/>
      <c r="M71" s="29"/>
      <c r="N71" s="29"/>
      <c r="O71" s="29"/>
      <c r="P71" s="29"/>
      <c r="Q71" s="29"/>
      <c r="R71" s="29"/>
      <c r="S71" s="29"/>
      <c r="T71" s="29"/>
      <c r="U71" s="29"/>
    </row>
    <row r="73" spans="1:21" x14ac:dyDescent="0.25">
      <c r="C73" s="262" t="s">
        <v>286</v>
      </c>
    </row>
    <row r="74" spans="1:21" x14ac:dyDescent="0.25">
      <c r="A74" s="103">
        <v>0.25</v>
      </c>
      <c r="C74" s="262" t="s">
        <v>287</v>
      </c>
      <c r="J74" s="266"/>
    </row>
    <row r="75" spans="1:21" x14ac:dyDescent="0.25">
      <c r="A75" s="103">
        <v>0.25</v>
      </c>
      <c r="C75" s="262" t="s">
        <v>288</v>
      </c>
      <c r="J75" s="266"/>
    </row>
    <row r="76" spans="1:21" x14ac:dyDescent="0.25">
      <c r="C76" s="262" t="s">
        <v>289</v>
      </c>
      <c r="J76" s="266"/>
    </row>
    <row r="77" spans="1:21" x14ac:dyDescent="0.25">
      <c r="C77" s="262" t="s">
        <v>290</v>
      </c>
      <c r="J77" s="266"/>
    </row>
    <row r="78" spans="1:21" x14ac:dyDescent="0.25">
      <c r="C78" s="262" t="s">
        <v>291</v>
      </c>
      <c r="J78" s="266"/>
    </row>
    <row r="79" spans="1:21" x14ac:dyDescent="0.25">
      <c r="C79" s="262" t="s">
        <v>292</v>
      </c>
      <c r="J79" s="266"/>
    </row>
    <row r="80" spans="1:21" x14ac:dyDescent="0.25">
      <c r="C80" s="262" t="s">
        <v>293</v>
      </c>
      <c r="J80" s="266"/>
    </row>
    <row r="82" spans="1:12" x14ac:dyDescent="0.25">
      <c r="A82" s="104">
        <v>0.75</v>
      </c>
      <c r="B82" s="262" t="s">
        <v>27</v>
      </c>
      <c r="C82" s="266" t="s">
        <v>294</v>
      </c>
      <c r="F82" s="93"/>
      <c r="G82" s="93"/>
      <c r="H82" s="93"/>
      <c r="I82" s="93"/>
    </row>
    <row r="83" spans="1:12" x14ac:dyDescent="0.25">
      <c r="C83" s="262" t="s">
        <v>295</v>
      </c>
    </row>
    <row r="84" spans="1:12" ht="15.75" thickBot="1" x14ac:dyDescent="0.3">
      <c r="C84" s="266"/>
    </row>
    <row r="85" spans="1:12" ht="15.75" thickBot="1" x14ac:dyDescent="0.3">
      <c r="A85" s="103">
        <v>0.25</v>
      </c>
      <c r="C85" s="262" t="s">
        <v>296</v>
      </c>
      <c r="D85" s="267">
        <f>Q25</f>
        <v>37600</v>
      </c>
      <c r="F85" s="262" t="s">
        <v>297</v>
      </c>
      <c r="J85" s="268"/>
      <c r="K85" s="268"/>
      <c r="L85" s="268"/>
    </row>
    <row r="87" spans="1:12" x14ac:dyDescent="0.25">
      <c r="C87" s="262" t="s">
        <v>298</v>
      </c>
    </row>
    <row r="88" spans="1:12" x14ac:dyDescent="0.25">
      <c r="D88" s="262" t="s">
        <v>299</v>
      </c>
    </row>
    <row r="89" spans="1:12" x14ac:dyDescent="0.25">
      <c r="D89" s="262" t="s">
        <v>300</v>
      </c>
    </row>
    <row r="90" spans="1:12" x14ac:dyDescent="0.25">
      <c r="D90" s="262" t="s">
        <v>301</v>
      </c>
    </row>
    <row r="91" spans="1:12" x14ac:dyDescent="0.25">
      <c r="C91" s="262" t="s">
        <v>302</v>
      </c>
    </row>
    <row r="92" spans="1:12" x14ac:dyDescent="0.25">
      <c r="D92" s="262" t="s">
        <v>303</v>
      </c>
    </row>
    <row r="93" spans="1:12" x14ac:dyDescent="0.25">
      <c r="D93" s="262" t="s">
        <v>304</v>
      </c>
    </row>
    <row r="94" spans="1:12" x14ac:dyDescent="0.25">
      <c r="C94" s="262" t="s">
        <v>305</v>
      </c>
    </row>
    <row r="95" spans="1:12" x14ac:dyDescent="0.25">
      <c r="D95" s="262" t="s">
        <v>306</v>
      </c>
    </row>
    <row r="96" spans="1:12" x14ac:dyDescent="0.25">
      <c r="C96" s="262" t="s">
        <v>307</v>
      </c>
    </row>
    <row r="97" spans="1:10" ht="17.25" x14ac:dyDescent="0.25">
      <c r="D97" s="262" t="s">
        <v>308</v>
      </c>
    </row>
    <row r="99" spans="1:10" x14ac:dyDescent="0.25">
      <c r="C99" s="262" t="s">
        <v>309</v>
      </c>
    </row>
    <row r="100" spans="1:10" x14ac:dyDescent="0.25">
      <c r="C100" s="262" t="s">
        <v>310</v>
      </c>
    </row>
    <row r="102" spans="1:10" x14ac:dyDescent="0.25">
      <c r="A102" s="104">
        <v>0.75</v>
      </c>
      <c r="B102" s="262" t="s">
        <v>133</v>
      </c>
      <c r="C102" s="266" t="s">
        <v>311</v>
      </c>
      <c r="J102" s="269"/>
    </row>
    <row r="103" spans="1:10" x14ac:dyDescent="0.25">
      <c r="C103" s="266" t="s">
        <v>312</v>
      </c>
    </row>
    <row r="105" spans="1:10" x14ac:dyDescent="0.25">
      <c r="D105" s="270" t="s">
        <v>313</v>
      </c>
      <c r="E105" s="270" t="s">
        <v>314</v>
      </c>
      <c r="F105" s="270" t="s">
        <v>315</v>
      </c>
    </row>
    <row r="106" spans="1:10" x14ac:dyDescent="0.25">
      <c r="C106" s="262" t="s">
        <v>316</v>
      </c>
      <c r="D106" s="271">
        <f>E25</f>
        <v>31200</v>
      </c>
      <c r="E106" s="272">
        <f>D106/$D$108</f>
        <v>0.65961945031712477</v>
      </c>
      <c r="F106" s="271">
        <f>E106*$D$85</f>
        <v>24801.691331923892</v>
      </c>
      <c r="I106" s="273"/>
      <c r="J106" s="269"/>
    </row>
    <row r="107" spans="1:10" x14ac:dyDescent="0.25">
      <c r="C107" s="262" t="s">
        <v>317</v>
      </c>
      <c r="D107" s="271">
        <f>K25</f>
        <v>16100</v>
      </c>
      <c r="E107" s="272">
        <f>D107/$D$108</f>
        <v>0.34038054968287529</v>
      </c>
      <c r="F107" s="271">
        <f>E107*$D$85</f>
        <v>12798.308668076112</v>
      </c>
      <c r="J107" s="274"/>
    </row>
    <row r="108" spans="1:10" x14ac:dyDescent="0.25">
      <c r="A108" s="103">
        <v>0.25</v>
      </c>
      <c r="C108" s="262" t="s">
        <v>96</v>
      </c>
      <c r="D108" s="271">
        <f>SUM(D106:D107)</f>
        <v>47300</v>
      </c>
      <c r="E108" s="275">
        <f>SUM(E106:E107)</f>
        <v>1</v>
      </c>
      <c r="F108" s="271">
        <f>SUM(F106:F107)</f>
        <v>37600</v>
      </c>
    </row>
    <row r="110" spans="1:10" x14ac:dyDescent="0.25">
      <c r="C110" s="266" t="s">
        <v>318</v>
      </c>
    </row>
    <row r="111" spans="1:10" x14ac:dyDescent="0.25">
      <c r="C111" s="266" t="s">
        <v>319</v>
      </c>
    </row>
    <row r="112" spans="1:10" x14ac:dyDescent="0.25">
      <c r="C112" s="266" t="s">
        <v>320</v>
      </c>
    </row>
    <row r="113" spans="1:7" x14ac:dyDescent="0.25">
      <c r="C113" s="266" t="s">
        <v>321</v>
      </c>
    </row>
    <row r="114" spans="1:7" x14ac:dyDescent="0.25">
      <c r="C114" s="266" t="s">
        <v>322</v>
      </c>
    </row>
    <row r="115" spans="1:7" x14ac:dyDescent="0.25">
      <c r="C115" s="266"/>
    </row>
    <row r="116" spans="1:7" x14ac:dyDescent="0.25">
      <c r="A116" s="103">
        <v>0.25</v>
      </c>
      <c r="C116" s="262" t="s">
        <v>323</v>
      </c>
    </row>
    <row r="117" spans="1:7" x14ac:dyDescent="0.25">
      <c r="A117" s="103">
        <v>0.25</v>
      </c>
      <c r="C117" s="262" t="s">
        <v>324</v>
      </c>
    </row>
    <row r="118" spans="1:7" x14ac:dyDescent="0.25">
      <c r="C118" s="268"/>
    </row>
    <row r="119" spans="1:7" x14ac:dyDescent="0.25">
      <c r="A119" s="104">
        <v>1.5</v>
      </c>
      <c r="B119" s="262" t="s">
        <v>265</v>
      </c>
      <c r="C119" s="266" t="s">
        <v>325</v>
      </c>
    </row>
    <row r="120" spans="1:7" x14ac:dyDescent="0.25">
      <c r="C120" s="266" t="s">
        <v>326</v>
      </c>
    </row>
    <row r="121" spans="1:7" x14ac:dyDescent="0.25">
      <c r="C121" s="266" t="s">
        <v>327</v>
      </c>
    </row>
    <row r="122" spans="1:7" x14ac:dyDescent="0.25">
      <c r="C122" s="266"/>
      <c r="F122" s="276"/>
    </row>
    <row r="123" spans="1:7" x14ac:dyDescent="0.25">
      <c r="A123" s="103">
        <v>0.25</v>
      </c>
      <c r="C123" s="266" t="s">
        <v>328</v>
      </c>
    </row>
    <row r="124" spans="1:7" x14ac:dyDescent="0.25">
      <c r="A124" s="103">
        <v>0.25</v>
      </c>
      <c r="C124" s="266" t="s">
        <v>329</v>
      </c>
    </row>
    <row r="125" spans="1:7" ht="15.75" thickBot="1" x14ac:dyDescent="0.3">
      <c r="C125" s="262" t="s">
        <v>330</v>
      </c>
      <c r="E125" s="273">
        <f>F107/M32</f>
        <v>3.1995771670190278E-2</v>
      </c>
      <c r="F125" s="330"/>
      <c r="G125" s="277"/>
    </row>
    <row r="126" spans="1:7" ht="15.75" thickBot="1" x14ac:dyDescent="0.3">
      <c r="C126" s="262" t="s">
        <v>331</v>
      </c>
      <c r="E126" s="278">
        <f>$J$41*E125</f>
        <v>28796.194503171249</v>
      </c>
    </row>
    <row r="129" spans="1:13" x14ac:dyDescent="0.25">
      <c r="A129" s="103">
        <v>0.25</v>
      </c>
      <c r="C129" s="266" t="s">
        <v>332</v>
      </c>
    </row>
    <row r="131" spans="1:13" x14ac:dyDescent="0.25">
      <c r="C131" s="270" t="s">
        <v>80</v>
      </c>
      <c r="D131" s="262">
        <f t="shared" ref="D131:G132" si="0">E46</f>
        <v>2024</v>
      </c>
      <c r="E131" s="262">
        <f t="shared" si="0"/>
        <v>2025</v>
      </c>
      <c r="F131" s="262">
        <f t="shared" si="0"/>
        <v>2026</v>
      </c>
      <c r="G131" s="262">
        <f t="shared" si="0"/>
        <v>2027</v>
      </c>
    </row>
    <row r="132" spans="1:13" ht="15.75" thickBot="1" x14ac:dyDescent="0.3">
      <c r="D132" s="279">
        <f t="shared" si="0"/>
        <v>0.4</v>
      </c>
      <c r="E132" s="279">
        <f t="shared" si="0"/>
        <v>0.65</v>
      </c>
      <c r="F132" s="279">
        <f t="shared" si="0"/>
        <v>0.85000000000000009</v>
      </c>
      <c r="G132" s="279">
        <f t="shared" si="0"/>
        <v>1</v>
      </c>
    </row>
    <row r="133" spans="1:13" ht="15.75" thickBot="1" x14ac:dyDescent="0.3">
      <c r="C133" s="262" t="s">
        <v>333</v>
      </c>
      <c r="D133" s="280">
        <f>D132</f>
        <v>0.4</v>
      </c>
      <c r="E133" s="281">
        <f>E132-D132</f>
        <v>0.25</v>
      </c>
      <c r="F133" s="281">
        <f>F132-E132</f>
        <v>0.20000000000000007</v>
      </c>
      <c r="G133" s="282">
        <f>G132-F132</f>
        <v>0.14999999999999991</v>
      </c>
    </row>
    <row r="136" spans="1:13" x14ac:dyDescent="0.25">
      <c r="C136" s="266" t="s">
        <v>334</v>
      </c>
    </row>
    <row r="137" spans="1:13" x14ac:dyDescent="0.25">
      <c r="C137" s="266"/>
    </row>
    <row r="138" spans="1:13" x14ac:dyDescent="0.25">
      <c r="C138" s="94" t="s">
        <v>95</v>
      </c>
      <c r="D138" s="270">
        <f t="shared" ref="D138:G139" si="1">E50</f>
        <v>0.5</v>
      </c>
      <c r="E138" s="270">
        <f t="shared" si="1"/>
        <v>1.5</v>
      </c>
      <c r="F138" s="270">
        <f t="shared" si="1"/>
        <v>2.5</v>
      </c>
      <c r="G138" s="270">
        <f t="shared" si="1"/>
        <v>3.5</v>
      </c>
      <c r="H138" s="270" t="s">
        <v>96</v>
      </c>
    </row>
    <row r="139" spans="1:13" x14ac:dyDescent="0.25">
      <c r="C139" s="94" t="s">
        <v>335</v>
      </c>
      <c r="D139" s="283">
        <f t="shared" si="1"/>
        <v>2.4E-2</v>
      </c>
      <c r="E139" s="283">
        <f t="shared" si="1"/>
        <v>2.5000000000000001E-2</v>
      </c>
      <c r="F139" s="283">
        <f t="shared" si="1"/>
        <v>2.5999999999999999E-2</v>
      </c>
      <c r="G139" s="283">
        <f t="shared" si="1"/>
        <v>2.8000000000000001E-2</v>
      </c>
      <c r="I139" s="270"/>
      <c r="J139" s="270"/>
      <c r="K139" s="270"/>
    </row>
    <row r="140" spans="1:13" x14ac:dyDescent="0.25">
      <c r="C140" s="262" t="s">
        <v>336</v>
      </c>
      <c r="D140" s="284">
        <f>(1+D139)^-D138</f>
        <v>0.98821176880261863</v>
      </c>
      <c r="E140" s="284">
        <f>(1+E139)^-E138</f>
        <v>0.96363863087764856</v>
      </c>
      <c r="F140" s="284">
        <f>(1+F139)^-F138</f>
        <v>0.9378461460112012</v>
      </c>
      <c r="G140" s="284">
        <f>(1+G139)^-G138</f>
        <v>0.9078709058928075</v>
      </c>
      <c r="I140" s="285"/>
      <c r="J140" s="271"/>
      <c r="K140" s="271"/>
    </row>
    <row r="141" spans="1:13" x14ac:dyDescent="0.25">
      <c r="C141" s="262" t="s">
        <v>337</v>
      </c>
      <c r="D141" s="271">
        <f>$J$41*D133</f>
        <v>360000</v>
      </c>
      <c r="E141" s="271">
        <f>$J$41*E133</f>
        <v>225000</v>
      </c>
      <c r="F141" s="271">
        <f>$J$41*F133</f>
        <v>180000.00000000006</v>
      </c>
      <c r="G141" s="271">
        <f>$J$41*G133</f>
        <v>134999.99999999991</v>
      </c>
      <c r="H141" s="286">
        <f>SUM(D141:G141)</f>
        <v>899999.99999999988</v>
      </c>
      <c r="I141" s="285"/>
      <c r="J141" s="271"/>
      <c r="K141" s="271"/>
    </row>
    <row r="142" spans="1:13" x14ac:dyDescent="0.25">
      <c r="A142" s="103">
        <v>0.25</v>
      </c>
      <c r="C142" s="262" t="s">
        <v>338</v>
      </c>
      <c r="D142" s="271">
        <f>D141*D140</f>
        <v>355756.23676894273</v>
      </c>
      <c r="E142" s="271">
        <f>E141*E140</f>
        <v>216818.69194747091</v>
      </c>
      <c r="F142" s="271">
        <f>F141*F140</f>
        <v>168812.30628201627</v>
      </c>
      <c r="G142" s="271">
        <f>G141*G140</f>
        <v>122562.57229552894</v>
      </c>
      <c r="H142" s="286">
        <f>SUM(D142:G142)</f>
        <v>863949.80729395885</v>
      </c>
      <c r="I142" s="285"/>
      <c r="J142" s="271"/>
      <c r="K142" s="271"/>
      <c r="L142" s="271"/>
      <c r="M142" s="271"/>
    </row>
    <row r="143" spans="1:13" x14ac:dyDescent="0.25">
      <c r="C143" s="262" t="s">
        <v>339</v>
      </c>
      <c r="D143" s="271">
        <f>D142*$E$125</f>
        <v>11382.695321905243</v>
      </c>
      <c r="E143" s="271">
        <f>E142*$E$125</f>
        <v>6937.2813613806029</v>
      </c>
      <c r="F143" s="271">
        <f>F142*$E$125</f>
        <v>5401.2800069176201</v>
      </c>
      <c r="G143" s="271">
        <f>G142*$E$125</f>
        <v>3921.4840784789326</v>
      </c>
      <c r="H143" s="286">
        <f>SUM(D143:G143)</f>
        <v>27642.740768682397</v>
      </c>
      <c r="I143" s="331"/>
      <c r="J143" s="271"/>
      <c r="K143" s="271"/>
    </row>
    <row r="144" spans="1:13" x14ac:dyDescent="0.25">
      <c r="I144" s="270"/>
      <c r="J144" s="271"/>
      <c r="K144" s="271"/>
    </row>
    <row r="145" spans="1:7" x14ac:dyDescent="0.25">
      <c r="C145" s="266" t="s">
        <v>340</v>
      </c>
    </row>
    <row r="146" spans="1:7" x14ac:dyDescent="0.25">
      <c r="C146" s="266" t="s">
        <v>341</v>
      </c>
    </row>
    <row r="147" spans="1:7" x14ac:dyDescent="0.25">
      <c r="C147" s="94" t="s">
        <v>275</v>
      </c>
      <c r="E147" s="287">
        <f>H141</f>
        <v>899999.99999999988</v>
      </c>
    </row>
    <row r="148" spans="1:7" x14ac:dyDescent="0.25">
      <c r="A148" s="103">
        <v>0.25</v>
      </c>
      <c r="C148" s="94" t="s">
        <v>277</v>
      </c>
      <c r="E148" s="287">
        <f>H142-H141</f>
        <v>-36050.192706041038</v>
      </c>
    </row>
    <row r="149" spans="1:7" x14ac:dyDescent="0.25">
      <c r="A149" s="103">
        <v>0.25</v>
      </c>
      <c r="C149" s="288" t="s">
        <v>279</v>
      </c>
      <c r="D149" s="289"/>
      <c r="E149" s="290">
        <f>H143</f>
        <v>27642.740768682397</v>
      </c>
    </row>
    <row r="150" spans="1:7" x14ac:dyDescent="0.25">
      <c r="C150" s="94" t="s">
        <v>96</v>
      </c>
      <c r="E150" s="286">
        <f>SUM(E147:E149)</f>
        <v>891592.54806264129</v>
      </c>
    </row>
    <row r="152" spans="1:7" x14ac:dyDescent="0.25">
      <c r="C152" s="262" t="s">
        <v>342</v>
      </c>
    </row>
    <row r="154" spans="1:7" x14ac:dyDescent="0.25">
      <c r="A154" s="104">
        <v>1.25</v>
      </c>
      <c r="B154" s="94" t="s">
        <v>282</v>
      </c>
      <c r="C154" s="266" t="s">
        <v>343</v>
      </c>
    </row>
    <row r="155" spans="1:7" x14ac:dyDescent="0.25">
      <c r="C155" s="266" t="s">
        <v>344</v>
      </c>
    </row>
    <row r="156" spans="1:7" x14ac:dyDescent="0.25">
      <c r="C156" s="266"/>
    </row>
    <row r="157" spans="1:7" x14ac:dyDescent="0.25">
      <c r="A157" s="103">
        <v>0.25</v>
      </c>
      <c r="C157" s="266" t="s">
        <v>345</v>
      </c>
    </row>
    <row r="159" spans="1:7" x14ac:dyDescent="0.25">
      <c r="C159" s="291" t="s">
        <v>346</v>
      </c>
      <c r="D159" s="270">
        <f t="shared" ref="D159:G160" si="2">E50</f>
        <v>0.5</v>
      </c>
      <c r="E159" s="270">
        <f t="shared" si="2"/>
        <v>1.5</v>
      </c>
      <c r="F159" s="270">
        <f t="shared" si="2"/>
        <v>2.5</v>
      </c>
      <c r="G159" s="270">
        <f t="shared" si="2"/>
        <v>3.5</v>
      </c>
    </row>
    <row r="160" spans="1:7" x14ac:dyDescent="0.25">
      <c r="C160" s="291" t="s">
        <v>347</v>
      </c>
      <c r="D160" s="275">
        <f t="shared" si="2"/>
        <v>2.4E-2</v>
      </c>
      <c r="E160" s="275">
        <f t="shared" si="2"/>
        <v>2.5000000000000001E-2</v>
      </c>
      <c r="F160" s="275">
        <f t="shared" si="2"/>
        <v>2.5999999999999999E-2</v>
      </c>
      <c r="G160" s="275">
        <f t="shared" si="2"/>
        <v>2.8000000000000001E-2</v>
      </c>
    </row>
    <row r="161" spans="1:51" x14ac:dyDescent="0.25">
      <c r="C161" s="291" t="s">
        <v>348</v>
      </c>
      <c r="D161" s="292">
        <f>D160+$P$66</f>
        <v>2.6499999999999999E-2</v>
      </c>
      <c r="E161" s="292">
        <f>E160+$P$66</f>
        <v>2.75E-2</v>
      </c>
      <c r="F161" s="292">
        <f>F160+$P$66</f>
        <v>2.8499999999999998E-2</v>
      </c>
      <c r="G161" s="292">
        <f>G160+$P$66</f>
        <v>3.0499999999999999E-2</v>
      </c>
    </row>
    <row r="162" spans="1:51" x14ac:dyDescent="0.25">
      <c r="C162" s="291" t="s">
        <v>349</v>
      </c>
      <c r="D162" s="292">
        <f>D160-$P$66</f>
        <v>2.1500000000000002E-2</v>
      </c>
      <c r="E162" s="292">
        <f>E160-$P$66</f>
        <v>2.2500000000000003E-2</v>
      </c>
      <c r="F162" s="292">
        <f>F160-$P$66</f>
        <v>2.35E-2</v>
      </c>
      <c r="G162" s="292">
        <f>G160-$P$66</f>
        <v>2.5500000000000002E-2</v>
      </c>
    </row>
    <row r="164" spans="1:51" x14ac:dyDescent="0.25">
      <c r="C164" s="266" t="s">
        <v>350</v>
      </c>
    </row>
    <row r="165" spans="1:51" x14ac:dyDescent="0.25">
      <c r="C165" s="266" t="s">
        <v>351</v>
      </c>
    </row>
    <row r="166" spans="1:51" x14ac:dyDescent="0.25">
      <c r="C166" s="266"/>
    </row>
    <row r="167" spans="1:51" x14ac:dyDescent="0.25">
      <c r="C167" s="291" t="s">
        <v>95</v>
      </c>
      <c r="D167" s="270">
        <f>E50</f>
        <v>0.5</v>
      </c>
      <c r="E167" s="270">
        <f>F50</f>
        <v>1.5</v>
      </c>
      <c r="F167" s="270">
        <f>G50</f>
        <v>2.5</v>
      </c>
      <c r="G167" s="270">
        <f>H50</f>
        <v>3.5</v>
      </c>
      <c r="H167" s="270" t="s">
        <v>96</v>
      </c>
    </row>
    <row r="168" spans="1:51" x14ac:dyDescent="0.25">
      <c r="C168" s="262" t="s">
        <v>352</v>
      </c>
      <c r="D168" s="286">
        <f>D141</f>
        <v>360000</v>
      </c>
      <c r="E168" s="286">
        <f>E141</f>
        <v>225000</v>
      </c>
      <c r="F168" s="286">
        <f>F141</f>
        <v>180000.00000000006</v>
      </c>
      <c r="G168" s="286">
        <f>G141</f>
        <v>134999.99999999991</v>
      </c>
      <c r="H168" s="286">
        <f>SUM(D168:G168)</f>
        <v>899999.99999999988</v>
      </c>
      <c r="AP168" s="269"/>
    </row>
    <row r="169" spans="1:51" x14ac:dyDescent="0.25">
      <c r="AP169" s="293"/>
    </row>
    <row r="170" spans="1:51" x14ac:dyDescent="0.25">
      <c r="H170" s="270" t="s">
        <v>338</v>
      </c>
      <c r="I170" s="270" t="s">
        <v>339</v>
      </c>
      <c r="J170" s="270" t="s">
        <v>353</v>
      </c>
      <c r="AP170" s="293"/>
    </row>
    <row r="171" spans="1:51" ht="15.75" thickBot="1" x14ac:dyDescent="0.3">
      <c r="C171" s="262" t="s">
        <v>354</v>
      </c>
      <c r="D171" s="286">
        <f>D168*(1+D160)^-D167</f>
        <v>355756.23676894273</v>
      </c>
      <c r="E171" s="286">
        <f>E168*(1+E160)^-E167</f>
        <v>216818.69194747091</v>
      </c>
      <c r="F171" s="286">
        <f>F168*(1+F160)^-F167</f>
        <v>168812.30628201627</v>
      </c>
      <c r="G171" s="286">
        <f>G168*(1+G160)^-G167</f>
        <v>122562.57229552894</v>
      </c>
      <c r="H171" s="286">
        <f>SUM(D171:G171)</f>
        <v>863949.80729395885</v>
      </c>
      <c r="I171" s="286">
        <f>H171*$E$125</f>
        <v>27642.740768682397</v>
      </c>
      <c r="J171" s="286">
        <f>H171+I171</f>
        <v>891592.54806264129</v>
      </c>
      <c r="AP171" s="293"/>
      <c r="AQ171" s="293"/>
      <c r="AR171" s="293"/>
      <c r="AS171" s="293"/>
      <c r="AT171" s="293"/>
      <c r="AU171" s="293"/>
      <c r="AX171" s="293"/>
      <c r="AY171" s="293"/>
    </row>
    <row r="172" spans="1:51" ht="15.75" thickBot="1" x14ac:dyDescent="0.3">
      <c r="A172" s="103">
        <v>0.25</v>
      </c>
      <c r="C172" s="262" t="s">
        <v>355</v>
      </c>
      <c r="D172" s="286">
        <f>D168*(1+D161)^-D167</f>
        <v>355322.75758179143</v>
      </c>
      <c r="E172" s="286">
        <f>E168*(1+E161)^-E167</f>
        <v>216027.86437970368</v>
      </c>
      <c r="F172" s="286">
        <f>F168*(1+F161)^-F167</f>
        <v>167788.33521457366</v>
      </c>
      <c r="G172" s="286">
        <f>G168*(1+G161)^-G167</f>
        <v>121525.04262946954</v>
      </c>
      <c r="H172" s="286">
        <f>SUM(D172:G172)</f>
        <v>860663.99980553833</v>
      </c>
      <c r="I172" s="286">
        <f>H172*$E$125</f>
        <v>27537.608822530692</v>
      </c>
      <c r="J172" s="278">
        <f>H172+I172</f>
        <v>888201.60862806905</v>
      </c>
      <c r="AP172" s="293"/>
      <c r="AQ172" s="293"/>
      <c r="AR172" s="293"/>
      <c r="AS172" s="293"/>
      <c r="AT172" s="293"/>
      <c r="AU172" s="293"/>
      <c r="AX172" s="293"/>
      <c r="AY172" s="293"/>
    </row>
    <row r="173" spans="1:51" ht="15.75" thickBot="1" x14ac:dyDescent="0.3">
      <c r="A173" s="103">
        <v>0.25</v>
      </c>
      <c r="C173" s="262" t="s">
        <v>356</v>
      </c>
      <c r="D173" s="286">
        <f>D168*(1+D162)^-D167</f>
        <v>356191.30631731491</v>
      </c>
      <c r="E173" s="286">
        <f>E168*(1+E162)^-E167</f>
        <v>217614.35637688698</v>
      </c>
      <c r="F173" s="286">
        <f>F168*(1+F162)^-F167</f>
        <v>169845.04741361071</v>
      </c>
      <c r="G173" s="286">
        <f>G168*(1+G162)^-G167</f>
        <v>123611.5186425615</v>
      </c>
      <c r="H173" s="286">
        <f>SUM(D173:G173)</f>
        <v>867262.22875037417</v>
      </c>
      <c r="I173" s="286">
        <f>H173*$E$125</f>
        <v>27748.7242492773</v>
      </c>
      <c r="J173" s="278">
        <f>H173+I173</f>
        <v>895010.95299965143</v>
      </c>
      <c r="AP173" s="293"/>
      <c r="AQ173" s="293"/>
      <c r="AR173" s="293"/>
      <c r="AS173" s="293"/>
      <c r="AT173" s="293"/>
      <c r="AU173" s="293"/>
      <c r="AX173" s="293"/>
      <c r="AY173" s="293"/>
    </row>
    <row r="174" spans="1:51" x14ac:dyDescent="0.25">
      <c r="D174" s="286"/>
      <c r="E174" s="286"/>
      <c r="F174" s="286"/>
      <c r="G174" s="286"/>
      <c r="H174" s="286"/>
      <c r="AP174" s="293"/>
      <c r="AQ174" s="293"/>
      <c r="AR174" s="293"/>
      <c r="AS174" s="293"/>
      <c r="AT174" s="293"/>
      <c r="AU174" s="293"/>
      <c r="AX174" s="293"/>
      <c r="AY174" s="293"/>
    </row>
    <row r="175" spans="1:51" x14ac:dyDescent="0.25">
      <c r="C175" s="266" t="s">
        <v>357</v>
      </c>
      <c r="AP175" s="293"/>
      <c r="AQ175" s="293"/>
      <c r="AR175" s="293"/>
      <c r="AS175" s="293"/>
      <c r="AT175" s="293"/>
      <c r="AU175" s="293"/>
      <c r="AX175" s="293"/>
      <c r="AY175" s="293"/>
    </row>
    <row r="176" spans="1:51" x14ac:dyDescent="0.25">
      <c r="C176" s="266" t="s">
        <v>358</v>
      </c>
      <c r="AP176" s="293"/>
      <c r="AQ176" s="293"/>
      <c r="AR176" s="293"/>
      <c r="AS176" s="293"/>
      <c r="AT176" s="293"/>
      <c r="AU176" s="293"/>
      <c r="AX176" s="293"/>
      <c r="AY176" s="293"/>
    </row>
    <row r="177" spans="1:67" x14ac:dyDescent="0.25">
      <c r="AP177" s="293"/>
      <c r="AQ177" s="293"/>
      <c r="AR177" s="293"/>
      <c r="AS177" s="293"/>
      <c r="AT177" s="293"/>
      <c r="AU177" s="293"/>
      <c r="AX177" s="293"/>
      <c r="AY177" s="293"/>
    </row>
    <row r="178" spans="1:67" ht="15.75" thickBot="1" x14ac:dyDescent="0.3">
      <c r="A178" s="103">
        <v>0.25</v>
      </c>
      <c r="C178" s="268" t="s">
        <v>359</v>
      </c>
      <c r="AP178" s="293"/>
      <c r="AQ178" s="293"/>
      <c r="AR178" s="293"/>
      <c r="AS178" s="293"/>
      <c r="AT178" s="293"/>
      <c r="AU178" s="293"/>
      <c r="AX178" s="293"/>
      <c r="AY178" s="293"/>
    </row>
    <row r="179" spans="1:67" ht="15.75" thickBot="1" x14ac:dyDescent="0.3">
      <c r="A179" s="103">
        <v>0.25</v>
      </c>
      <c r="C179" s="262" t="s">
        <v>360</v>
      </c>
      <c r="D179" s="294">
        <f>(J173-J172)/(2*$P$66*J171)</f>
        <v>1.5274565464636369</v>
      </c>
      <c r="AP179" s="293"/>
      <c r="AQ179" s="293"/>
      <c r="AR179" s="293"/>
      <c r="AS179" s="293"/>
      <c r="AT179" s="293"/>
      <c r="AU179" s="293"/>
      <c r="AX179" s="293"/>
      <c r="AY179" s="293"/>
    </row>
    <row r="180" spans="1:67" x14ac:dyDescent="0.25">
      <c r="AR180" s="293"/>
      <c r="AS180" s="293"/>
      <c r="AT180" s="293"/>
      <c r="AU180" s="293"/>
      <c r="AX180" s="293"/>
      <c r="AY180" s="293"/>
    </row>
    <row r="181" spans="1:67" x14ac:dyDescent="0.25">
      <c r="AR181" s="293"/>
      <c r="AS181" s="293"/>
      <c r="AT181" s="293"/>
      <c r="AU181" s="293"/>
      <c r="AX181" s="293"/>
      <c r="AY181" s="293"/>
    </row>
    <row r="184" spans="1:67" x14ac:dyDescent="0.25">
      <c r="AM184" s="268" t="s">
        <v>361</v>
      </c>
      <c r="AS184" s="268" t="s">
        <v>362</v>
      </c>
      <c r="AY184" s="268" t="s">
        <v>363</v>
      </c>
    </row>
    <row r="185" spans="1:67" ht="15.75" thickBot="1" x14ac:dyDescent="0.3"/>
    <row r="186" spans="1:67" ht="15.75" thickBot="1" x14ac:dyDescent="0.3">
      <c r="AN186" s="703" t="s">
        <v>254</v>
      </c>
      <c r="AO186" s="700"/>
      <c r="AP186" s="699" t="s">
        <v>255</v>
      </c>
      <c r="AQ186" s="700"/>
      <c r="AT186" s="703" t="s">
        <v>254</v>
      </c>
      <c r="AU186" s="700"/>
      <c r="AV186" s="699" t="s">
        <v>255</v>
      </c>
      <c r="AW186" s="700"/>
      <c r="AZ186" s="703" t="s">
        <v>254</v>
      </c>
      <c r="BA186" s="700"/>
      <c r="BB186" s="699" t="s">
        <v>255</v>
      </c>
      <c r="BC186" s="700"/>
      <c r="BE186" s="269"/>
    </row>
    <row r="187" spans="1:67" ht="15.75" thickBot="1" x14ac:dyDescent="0.3">
      <c r="AM187" s="295" t="s">
        <v>256</v>
      </c>
      <c r="AN187" s="296" t="s">
        <v>257</v>
      </c>
      <c r="AO187" s="297" t="s">
        <v>258</v>
      </c>
      <c r="AP187" s="298" t="s">
        <v>257</v>
      </c>
      <c r="AQ187" s="297" t="s">
        <v>258</v>
      </c>
      <c r="AS187" s="295" t="s">
        <v>256</v>
      </c>
      <c r="AT187" s="296" t="s">
        <v>257</v>
      </c>
      <c r="AU187" s="297" t="s">
        <v>258</v>
      </c>
      <c r="AV187" s="298" t="s">
        <v>257</v>
      </c>
      <c r="AW187" s="297" t="s">
        <v>258</v>
      </c>
      <c r="AY187" s="295" t="s">
        <v>256</v>
      </c>
      <c r="AZ187" s="296" t="s">
        <v>257</v>
      </c>
      <c r="BA187" s="297" t="s">
        <v>258</v>
      </c>
      <c r="BB187" s="298" t="s">
        <v>257</v>
      </c>
      <c r="BC187" s="297" t="s">
        <v>258</v>
      </c>
      <c r="BE187" s="269"/>
    </row>
    <row r="188" spans="1:67" x14ac:dyDescent="0.25">
      <c r="AM188" s="299">
        <v>50</v>
      </c>
      <c r="AN188" s="300">
        <f>ROUND(BC213,-2)</f>
        <v>-4100</v>
      </c>
      <c r="AO188" s="301">
        <f t="shared" ref="AO188:AO197" si="3">ROUND(BD213,-2)</f>
        <v>20400</v>
      </c>
      <c r="AP188" s="302">
        <v>-200</v>
      </c>
      <c r="AQ188" s="301">
        <v>20776</v>
      </c>
      <c r="AS188" s="299">
        <v>50</v>
      </c>
      <c r="AT188" s="300">
        <f>ROUND(BC230,-2)</f>
        <v>2600</v>
      </c>
      <c r="AU188" s="301">
        <f t="shared" ref="AU188:AU197" si="4">ROUND(BD230,-2)</f>
        <v>11300</v>
      </c>
      <c r="AV188" s="302">
        <v>1000</v>
      </c>
      <c r="AW188" s="301">
        <v>7800</v>
      </c>
      <c r="AY188" s="299">
        <v>50</v>
      </c>
      <c r="AZ188" s="300">
        <f>ROUND(BC246,-2)</f>
        <v>-1200</v>
      </c>
      <c r="BA188" s="301">
        <f t="shared" ref="BA188:BA197" si="5">ROUND(BD246,-2)</f>
        <v>25400</v>
      </c>
      <c r="BB188" s="302">
        <v>-1700</v>
      </c>
      <c r="BC188" s="301">
        <v>27800</v>
      </c>
      <c r="BE188" s="286"/>
      <c r="BF188" s="286"/>
      <c r="BG188" s="286"/>
      <c r="BH188" s="286"/>
      <c r="BI188" s="286"/>
      <c r="BN188" s="286"/>
      <c r="BO188" s="286"/>
    </row>
    <row r="189" spans="1:67" x14ac:dyDescent="0.25">
      <c r="AM189" s="299">
        <v>55</v>
      </c>
      <c r="AN189" s="300">
        <f t="shared" ref="AN189:AN197" si="6">ROUND(BC214,-2)</f>
        <v>4300</v>
      </c>
      <c r="AO189" s="301">
        <f t="shared" si="3"/>
        <v>22700</v>
      </c>
      <c r="AP189" s="302">
        <v>600</v>
      </c>
      <c r="AQ189" s="301">
        <v>36673</v>
      </c>
      <c r="AS189" s="299">
        <v>55</v>
      </c>
      <c r="AT189" s="300">
        <f t="shared" ref="AT189:AT197" si="7">ROUND(BC231,-2)</f>
        <v>4500</v>
      </c>
      <c r="AU189" s="301">
        <f t="shared" si="4"/>
        <v>12300</v>
      </c>
      <c r="AV189" s="302">
        <v>3200</v>
      </c>
      <c r="AW189" s="301">
        <v>18200</v>
      </c>
      <c r="AY189" s="299">
        <v>55</v>
      </c>
      <c r="AZ189" s="300">
        <f t="shared" ref="AZ189:AZ197" si="8">ROUND(BC247,-2)</f>
        <v>7000</v>
      </c>
      <c r="BA189" s="301">
        <f t="shared" si="5"/>
        <v>28000</v>
      </c>
      <c r="BB189" s="302">
        <v>3400</v>
      </c>
      <c r="BC189" s="301">
        <v>44100</v>
      </c>
      <c r="BE189" s="286"/>
      <c r="BF189" s="286"/>
      <c r="BG189" s="286"/>
      <c r="BH189" s="286"/>
      <c r="BI189" s="286"/>
      <c r="BJ189" s="269"/>
      <c r="BN189" s="286"/>
      <c r="BO189" s="286"/>
    </row>
    <row r="190" spans="1:67" x14ac:dyDescent="0.25">
      <c r="AM190" s="299">
        <v>60</v>
      </c>
      <c r="AN190" s="300">
        <f t="shared" si="6"/>
        <v>8300</v>
      </c>
      <c r="AO190" s="301">
        <f t="shared" si="3"/>
        <v>24700</v>
      </c>
      <c r="AP190" s="302">
        <v>1200</v>
      </c>
      <c r="AQ190" s="301">
        <v>41037.5</v>
      </c>
      <c r="AS190" s="299">
        <v>60</v>
      </c>
      <c r="AT190" s="300">
        <f t="shared" si="7"/>
        <v>6600</v>
      </c>
      <c r="AU190" s="301">
        <f t="shared" si="4"/>
        <v>13300</v>
      </c>
      <c r="AV190" s="302">
        <v>8700</v>
      </c>
      <c r="AW190" s="301">
        <v>23800</v>
      </c>
      <c r="AY190" s="299">
        <v>60</v>
      </c>
      <c r="AZ190" s="300">
        <f t="shared" si="8"/>
        <v>12000</v>
      </c>
      <c r="BA190" s="301">
        <f t="shared" si="5"/>
        <v>30400</v>
      </c>
      <c r="BB190" s="302">
        <v>7500</v>
      </c>
      <c r="BC190" s="301">
        <v>56200</v>
      </c>
      <c r="BE190" s="286"/>
      <c r="BF190" s="286"/>
      <c r="BG190" s="286"/>
      <c r="BH190" s="286"/>
      <c r="BI190" s="286"/>
      <c r="BJ190" s="269"/>
      <c r="BN190" s="286"/>
      <c r="BO190" s="286"/>
    </row>
    <row r="191" spans="1:67" x14ac:dyDescent="0.25">
      <c r="AM191" s="299">
        <v>65</v>
      </c>
      <c r="AN191" s="300">
        <f t="shared" si="6"/>
        <v>12300</v>
      </c>
      <c r="AO191" s="301">
        <f t="shared" si="3"/>
        <v>27000</v>
      </c>
      <c r="AP191" s="302">
        <v>2800</v>
      </c>
      <c r="AQ191" s="301">
        <v>73038</v>
      </c>
      <c r="AS191" s="299">
        <v>65</v>
      </c>
      <c r="AT191" s="300">
        <f t="shared" si="7"/>
        <v>7400</v>
      </c>
      <c r="AU191" s="301">
        <f t="shared" si="4"/>
        <v>14100</v>
      </c>
      <c r="AV191" s="302">
        <v>13600</v>
      </c>
      <c r="AW191" s="301">
        <v>35400</v>
      </c>
      <c r="AY191" s="299">
        <v>65</v>
      </c>
      <c r="AZ191" s="300">
        <f t="shared" si="8"/>
        <v>15700</v>
      </c>
      <c r="BA191" s="301">
        <f t="shared" si="5"/>
        <v>32900</v>
      </c>
      <c r="BB191" s="302">
        <v>10500</v>
      </c>
      <c r="BC191" s="301">
        <v>71900</v>
      </c>
      <c r="BE191" s="286"/>
      <c r="BF191" s="286"/>
      <c r="BG191" s="286"/>
      <c r="BH191" s="286"/>
      <c r="BI191" s="286"/>
      <c r="BJ191" s="269"/>
      <c r="BN191" s="286"/>
      <c r="BO191" s="286"/>
    </row>
    <row r="192" spans="1:67" x14ac:dyDescent="0.25">
      <c r="AM192" s="299">
        <v>70</v>
      </c>
      <c r="AN192" s="300">
        <f t="shared" si="6"/>
        <v>16200</v>
      </c>
      <c r="AO192" s="301">
        <f t="shared" si="3"/>
        <v>28900</v>
      </c>
      <c r="AP192" s="302">
        <v>3900</v>
      </c>
      <c r="AQ192" s="301">
        <v>76867</v>
      </c>
      <c r="AS192" s="299">
        <v>70</v>
      </c>
      <c r="AT192" s="300">
        <f t="shared" si="7"/>
        <v>9400</v>
      </c>
      <c r="AU192" s="301">
        <f t="shared" si="4"/>
        <v>15000</v>
      </c>
      <c r="AV192" s="302">
        <v>19000</v>
      </c>
      <c r="AW192" s="301">
        <v>36800</v>
      </c>
      <c r="AY192" s="299">
        <v>70</v>
      </c>
      <c r="AZ192" s="300">
        <f t="shared" si="8"/>
        <v>20500</v>
      </c>
      <c r="BA192" s="301">
        <f t="shared" si="5"/>
        <v>35100</v>
      </c>
      <c r="BB192" s="302">
        <v>14700</v>
      </c>
      <c r="BC192" s="301">
        <v>79000</v>
      </c>
      <c r="BE192" s="286"/>
      <c r="BF192" s="286"/>
      <c r="BG192" s="286"/>
      <c r="BH192" s="286"/>
      <c r="BI192" s="286"/>
      <c r="BJ192" s="269"/>
      <c r="BN192" s="286"/>
      <c r="BO192" s="286"/>
    </row>
    <row r="193" spans="39:67" x14ac:dyDescent="0.25">
      <c r="AM193" s="299">
        <v>75</v>
      </c>
      <c r="AN193" s="300">
        <f t="shared" si="6"/>
        <v>19100</v>
      </c>
      <c r="AO193" s="301">
        <f t="shared" si="3"/>
        <v>31200</v>
      </c>
      <c r="AP193" s="302">
        <v>5000</v>
      </c>
      <c r="AQ193" s="301">
        <v>103530</v>
      </c>
      <c r="AS193" s="299">
        <v>75</v>
      </c>
      <c r="AT193" s="300">
        <f t="shared" si="7"/>
        <v>11600</v>
      </c>
      <c r="AU193" s="301">
        <f t="shared" si="4"/>
        <v>15900</v>
      </c>
      <c r="AV193" s="302">
        <v>32500</v>
      </c>
      <c r="AW193" s="301">
        <v>51700</v>
      </c>
      <c r="AY193" s="299">
        <v>75</v>
      </c>
      <c r="AZ193" s="300">
        <f t="shared" si="8"/>
        <v>24500</v>
      </c>
      <c r="BA193" s="301">
        <f t="shared" si="5"/>
        <v>37600</v>
      </c>
      <c r="BB193" s="302">
        <v>19300</v>
      </c>
      <c r="BC193" s="301">
        <v>94200</v>
      </c>
      <c r="BE193" s="286"/>
      <c r="BF193" s="286"/>
      <c r="BG193" s="286"/>
      <c r="BH193" s="286"/>
      <c r="BI193" s="286"/>
      <c r="BJ193" s="269"/>
      <c r="BN193" s="286"/>
      <c r="BO193" s="286"/>
    </row>
    <row r="194" spans="39:67" x14ac:dyDescent="0.25">
      <c r="AM194" s="299">
        <v>80</v>
      </c>
      <c r="AN194" s="300">
        <f t="shared" si="6"/>
        <v>22900</v>
      </c>
      <c r="AO194" s="301">
        <f t="shared" si="3"/>
        <v>33900</v>
      </c>
      <c r="AP194" s="302">
        <v>6700</v>
      </c>
      <c r="AQ194" s="301">
        <v>118818</v>
      </c>
      <c r="AS194" s="299">
        <v>80</v>
      </c>
      <c r="AT194" s="300">
        <f t="shared" si="7"/>
        <v>13100</v>
      </c>
      <c r="AU194" s="301">
        <f t="shared" si="4"/>
        <v>16700</v>
      </c>
      <c r="AV194" s="302">
        <v>41500</v>
      </c>
      <c r="AW194" s="301">
        <v>54900</v>
      </c>
      <c r="AY194" s="299">
        <v>80</v>
      </c>
      <c r="AZ194" s="300">
        <f t="shared" si="8"/>
        <v>28900</v>
      </c>
      <c r="BA194" s="301">
        <f t="shared" si="5"/>
        <v>40500</v>
      </c>
      <c r="BB194" s="302">
        <v>23800</v>
      </c>
      <c r="BC194" s="301">
        <v>103700</v>
      </c>
      <c r="BE194" s="286"/>
      <c r="BF194" s="286"/>
      <c r="BG194" s="286"/>
      <c r="BH194" s="286"/>
      <c r="BI194" s="286"/>
      <c r="BJ194" s="269"/>
      <c r="BN194" s="286"/>
      <c r="BO194" s="286"/>
    </row>
    <row r="195" spans="39:67" x14ac:dyDescent="0.25">
      <c r="AM195" s="299">
        <v>85</v>
      </c>
      <c r="AN195" s="300">
        <f t="shared" si="6"/>
        <v>26100</v>
      </c>
      <c r="AO195" s="301">
        <f t="shared" si="3"/>
        <v>37500</v>
      </c>
      <c r="AP195" s="302">
        <v>9800</v>
      </c>
      <c r="AQ195" s="301">
        <v>140658</v>
      </c>
      <c r="AS195" s="299">
        <v>85</v>
      </c>
      <c r="AT195" s="300">
        <f t="shared" si="7"/>
        <v>15700</v>
      </c>
      <c r="AU195" s="301">
        <f t="shared" si="4"/>
        <v>17400</v>
      </c>
      <c r="AV195" s="302">
        <v>55200</v>
      </c>
      <c r="AW195" s="301">
        <v>66700</v>
      </c>
      <c r="AY195" s="299">
        <v>85</v>
      </c>
      <c r="AZ195" s="300">
        <f t="shared" si="8"/>
        <v>33500</v>
      </c>
      <c r="BA195" s="301">
        <f t="shared" si="5"/>
        <v>43900</v>
      </c>
      <c r="BB195" s="302">
        <v>29300</v>
      </c>
      <c r="BC195" s="301">
        <v>123500</v>
      </c>
      <c r="BE195" s="286"/>
      <c r="BF195" s="286"/>
      <c r="BG195" s="286"/>
      <c r="BH195" s="286"/>
      <c r="BI195" s="286"/>
      <c r="BJ195" s="269"/>
      <c r="BN195" s="286"/>
      <c r="BO195" s="286"/>
    </row>
    <row r="196" spans="39:67" x14ac:dyDescent="0.25">
      <c r="AM196" s="299">
        <v>90</v>
      </c>
      <c r="AN196" s="300">
        <f t="shared" si="6"/>
        <v>32200</v>
      </c>
      <c r="AO196" s="301">
        <f t="shared" si="3"/>
        <v>40300</v>
      </c>
      <c r="AP196" s="302">
        <v>13200</v>
      </c>
      <c r="AQ196" s="301">
        <v>170555</v>
      </c>
      <c r="AS196" s="299">
        <v>90</v>
      </c>
      <c r="AT196" s="300">
        <f t="shared" si="7"/>
        <v>17300</v>
      </c>
      <c r="AU196" s="301">
        <f t="shared" si="4"/>
        <v>17900</v>
      </c>
      <c r="AV196" s="302">
        <v>62400</v>
      </c>
      <c r="AW196" s="301">
        <v>65500</v>
      </c>
      <c r="AY196" s="299">
        <v>90</v>
      </c>
      <c r="AZ196" s="300">
        <f t="shared" si="8"/>
        <v>39600</v>
      </c>
      <c r="BA196" s="301">
        <f t="shared" si="5"/>
        <v>46600</v>
      </c>
      <c r="BB196" s="302">
        <v>37000</v>
      </c>
      <c r="BC196" s="301">
        <v>139700</v>
      </c>
      <c r="BE196" s="286"/>
      <c r="BF196" s="286"/>
      <c r="BG196" s="286"/>
      <c r="BH196" s="286"/>
      <c r="BI196" s="286"/>
      <c r="BJ196" s="269"/>
      <c r="BN196" s="286"/>
      <c r="BO196" s="286"/>
    </row>
    <row r="197" spans="39:67" ht="15.75" thickBot="1" x14ac:dyDescent="0.3">
      <c r="AM197" s="303">
        <v>95</v>
      </c>
      <c r="AN197" s="304">
        <f t="shared" si="6"/>
        <v>39800</v>
      </c>
      <c r="AO197" s="305">
        <f t="shared" si="3"/>
        <v>45900</v>
      </c>
      <c r="AP197" s="306">
        <v>17100</v>
      </c>
      <c r="AQ197" s="305">
        <v>219187.5</v>
      </c>
      <c r="AS197" s="303">
        <v>95</v>
      </c>
      <c r="AT197" s="304">
        <f t="shared" si="7"/>
        <v>17900</v>
      </c>
      <c r="AU197" s="305">
        <f t="shared" si="4"/>
        <v>18200</v>
      </c>
      <c r="AV197" s="306">
        <v>78800</v>
      </c>
      <c r="AW197" s="305">
        <v>91500</v>
      </c>
      <c r="AY197" s="303">
        <v>95</v>
      </c>
      <c r="AZ197" s="304">
        <f t="shared" si="8"/>
        <v>46100</v>
      </c>
      <c r="BA197" s="305">
        <f t="shared" si="5"/>
        <v>51300</v>
      </c>
      <c r="BB197" s="306">
        <v>47500</v>
      </c>
      <c r="BC197" s="305">
        <v>167900</v>
      </c>
      <c r="BE197" s="286"/>
      <c r="BF197" s="286"/>
      <c r="BG197" s="286"/>
      <c r="BH197" s="286"/>
      <c r="BI197" s="286"/>
      <c r="BJ197" s="269"/>
      <c r="BN197" s="286"/>
      <c r="BO197" s="286"/>
    </row>
    <row r="200" spans="39:67" x14ac:dyDescent="0.25">
      <c r="AM200" s="262" t="s">
        <v>364</v>
      </c>
      <c r="AN200" s="277">
        <v>350000</v>
      </c>
      <c r="AS200" s="262" t="s">
        <v>364</v>
      </c>
      <c r="AT200" s="277">
        <v>400000</v>
      </c>
      <c r="AY200" s="262" t="s">
        <v>364</v>
      </c>
      <c r="AZ200" s="277">
        <f>AN200+AT200</f>
        <v>750000</v>
      </c>
    </row>
    <row r="201" spans="39:67" x14ac:dyDescent="0.25">
      <c r="AN201" s="277"/>
      <c r="AT201" s="277"/>
      <c r="AZ201" s="277"/>
    </row>
    <row r="202" spans="39:67" x14ac:dyDescent="0.25">
      <c r="AN202" s="277"/>
      <c r="AT202" s="277"/>
      <c r="AZ202" s="277"/>
    </row>
    <row r="203" spans="39:67" x14ac:dyDescent="0.25">
      <c r="AN203" s="277"/>
      <c r="AT203" s="277"/>
      <c r="AZ203" s="277"/>
    </row>
    <row r="204" spans="39:67" x14ac:dyDescent="0.25">
      <c r="AN204" s="277"/>
      <c r="AT204" s="277"/>
      <c r="AZ204" s="277"/>
    </row>
    <row r="205" spans="39:67" x14ac:dyDescent="0.25">
      <c r="AN205" s="277"/>
      <c r="AT205" s="277"/>
      <c r="AZ205" s="277"/>
    </row>
    <row r="206" spans="39:67" x14ac:dyDescent="0.25">
      <c r="AN206" s="277"/>
      <c r="AT206" s="277"/>
      <c r="AZ206" s="277"/>
    </row>
    <row r="207" spans="39:67" x14ac:dyDescent="0.25">
      <c r="AN207" s="277"/>
      <c r="AT207" s="277"/>
      <c r="AZ207" s="277"/>
    </row>
    <row r="208" spans="39:67" ht="15.75" thickBot="1" x14ac:dyDescent="0.3">
      <c r="AN208" s="277"/>
      <c r="AT208" s="277"/>
      <c r="AZ208" s="277"/>
    </row>
    <row r="209" spans="40:61" ht="15.75" thickBot="1" x14ac:dyDescent="0.3">
      <c r="AN209" s="262" t="s">
        <v>365</v>
      </c>
      <c r="AO209" s="262" t="s">
        <v>366</v>
      </c>
      <c r="AP209" s="262" t="s">
        <v>367</v>
      </c>
      <c r="AQ209" s="262" t="s">
        <v>368</v>
      </c>
      <c r="AS209" s="262" t="s">
        <v>369</v>
      </c>
      <c r="AT209" s="262" t="s">
        <v>367</v>
      </c>
      <c r="AU209" s="262" t="s">
        <v>368</v>
      </c>
      <c r="AY209" s="262" t="s">
        <v>370</v>
      </c>
      <c r="AZ209" s="307">
        <f>SUMPRODUCT(AO210:AO311,AP210:AP311)</f>
        <v>366704.93932462233</v>
      </c>
      <c r="BB209" s="269"/>
      <c r="BC209" s="269"/>
    </row>
    <row r="210" spans="40:61" x14ac:dyDescent="0.25">
      <c r="AN210" s="262">
        <v>0</v>
      </c>
      <c r="AO210" s="277">
        <v>7844</v>
      </c>
      <c r="AP210" s="262">
        <v>1.7938582773904099E-2</v>
      </c>
      <c r="AQ210" s="308">
        <f>AP210</f>
        <v>1.7938582773904099E-2</v>
      </c>
      <c r="AS210" s="277">
        <v>8011.8823091264203</v>
      </c>
      <c r="AT210" s="262">
        <v>1.4082141152836901E-4</v>
      </c>
      <c r="AU210" s="308">
        <f>AT210</f>
        <v>1.4082141152836901E-4</v>
      </c>
      <c r="BA210" s="269"/>
      <c r="BB210" s="269"/>
      <c r="BC210" s="269" t="s">
        <v>371</v>
      </c>
    </row>
    <row r="211" spans="40:61" ht="15.75" thickBot="1" x14ac:dyDescent="0.3">
      <c r="AO211" s="277"/>
      <c r="AQ211" s="308"/>
      <c r="AS211" s="277">
        <v>0</v>
      </c>
      <c r="AU211" s="308"/>
      <c r="BA211" s="269"/>
      <c r="BB211" s="269"/>
      <c r="BC211" s="269"/>
    </row>
    <row r="212" spans="40:61" ht="15.75" thickBot="1" x14ac:dyDescent="0.3">
      <c r="AN212" s="262">
        <v>1</v>
      </c>
      <c r="AO212" s="277">
        <v>10424</v>
      </c>
      <c r="AP212" s="262">
        <v>1.78131019697991E-2</v>
      </c>
      <c r="AQ212" s="308">
        <f>AQ210+AP212</f>
        <v>3.5751684743703202E-2</v>
      </c>
      <c r="AS212" s="277">
        <v>14668.028525010999</v>
      </c>
      <c r="AT212" s="262">
        <v>4.2031657587043202E-4</v>
      </c>
      <c r="AU212" s="308">
        <f>AU210+AT212</f>
        <v>5.6113798739880103E-4</v>
      </c>
      <c r="AY212" s="295" t="s">
        <v>256</v>
      </c>
      <c r="AZ212" s="309" t="s">
        <v>372</v>
      </c>
      <c r="BA212" s="298" t="s">
        <v>257</v>
      </c>
      <c r="BB212" s="310" t="s">
        <v>258</v>
      </c>
      <c r="BC212" s="298" t="s">
        <v>257</v>
      </c>
      <c r="BD212" s="310" t="s">
        <v>258</v>
      </c>
      <c r="BE212" s="269"/>
      <c r="BF212" s="269"/>
    </row>
    <row r="213" spans="40:61" x14ac:dyDescent="0.25">
      <c r="AN213" s="262">
        <f t="shared" ref="AN213:AN276" si="9">AN212+1</f>
        <v>2</v>
      </c>
      <c r="AO213" s="277">
        <v>27155</v>
      </c>
      <c r="AP213" s="262">
        <v>1.76749456011575E-2</v>
      </c>
      <c r="AQ213" s="308">
        <f t="shared" ref="AQ213:AQ276" si="10">AQ212+AP213</f>
        <v>5.3426630344860698E-2</v>
      </c>
      <c r="AS213" s="277">
        <v>14882.9695569215</v>
      </c>
      <c r="AT213" s="262">
        <v>4.9033539632678796E-4</v>
      </c>
      <c r="AU213" s="308">
        <f t="shared" ref="AU213:AU276" si="11">AU212+AT213</f>
        <v>1.0514733837255889E-3</v>
      </c>
      <c r="AY213" s="299">
        <v>50</v>
      </c>
      <c r="AZ213" s="311">
        <f>AO243</f>
        <v>325582</v>
      </c>
      <c r="BA213" s="312">
        <f t="shared" ref="BA213:BA222" si="12">AZ213-$AZ$209</f>
        <v>-41122.939324622334</v>
      </c>
      <c r="BB213" s="313">
        <f>SUMPRODUCT(AO243:$AO$311,AP243:$AP$311)/SUM(AP243:$AP$311)-$AZ$209</f>
        <v>204290.25055028574</v>
      </c>
      <c r="BC213" s="314">
        <f>ROUND(BA213/10,0)</f>
        <v>-4112</v>
      </c>
      <c r="BD213" s="315">
        <f t="shared" ref="BD213:BD222" si="13">ROUND(BB213/10,0)</f>
        <v>20429</v>
      </c>
      <c r="BE213" s="273">
        <f t="shared" ref="BE213:BF222" si="14">BC213/$AZ$209</f>
        <v>-1.1213375002729068E-2</v>
      </c>
      <c r="BF213" s="273">
        <f t="shared" si="14"/>
        <v>5.5709639574599255E-2</v>
      </c>
      <c r="BH213" s="316">
        <f>ROUND(BE213,3)</f>
        <v>-1.0999999999999999E-2</v>
      </c>
      <c r="BI213" s="316">
        <f t="shared" ref="BI213:BI222" si="15">ROUND(BF213,3)</f>
        <v>5.6000000000000001E-2</v>
      </c>
    </row>
    <row r="214" spans="40:61" x14ac:dyDescent="0.25">
      <c r="AN214" s="262">
        <f t="shared" si="9"/>
        <v>3</v>
      </c>
      <c r="AO214" s="277">
        <v>33259</v>
      </c>
      <c r="AP214" s="262">
        <v>1.76028442218466E-2</v>
      </c>
      <c r="AQ214" s="308">
        <f t="shared" si="10"/>
        <v>7.1029474566707301E-2</v>
      </c>
      <c r="AS214" s="277">
        <v>18900.0447760186</v>
      </c>
      <c r="AT214" s="262">
        <v>6.2854005412264899E-4</v>
      </c>
      <c r="AU214" s="308">
        <f t="shared" si="11"/>
        <v>1.6800134378482379E-3</v>
      </c>
      <c r="AY214" s="299">
        <v>55</v>
      </c>
      <c r="AZ214" s="300">
        <f>AO247</f>
        <v>409508</v>
      </c>
      <c r="BA214" s="286">
        <f t="shared" si="12"/>
        <v>42803.060675377666</v>
      </c>
      <c r="BB214" s="301">
        <f>SUMPRODUCT(AO247:$AO$311,AP247:$AP$311)/SUM(AP247:$AP$311)-$AZ$209</f>
        <v>226870.82755343226</v>
      </c>
      <c r="BC214" s="317">
        <f t="shared" ref="BC214:BC222" si="16">ROUND(BA214/10,0)</f>
        <v>4280</v>
      </c>
      <c r="BD214" s="318">
        <f t="shared" si="13"/>
        <v>22687</v>
      </c>
      <c r="BE214" s="273">
        <f t="shared" si="14"/>
        <v>1.1671509000895043E-2</v>
      </c>
      <c r="BF214" s="273">
        <f t="shared" si="14"/>
        <v>6.1867178668996686E-2</v>
      </c>
      <c r="BH214" s="316">
        <f t="shared" ref="BH214:BH222" si="17">ROUND(BE214,3)</f>
        <v>1.2E-2</v>
      </c>
      <c r="BI214" s="316">
        <f t="shared" si="15"/>
        <v>6.2E-2</v>
      </c>
    </row>
    <row r="215" spans="40:61" x14ac:dyDescent="0.25">
      <c r="AN215" s="262">
        <f t="shared" si="9"/>
        <v>4</v>
      </c>
      <c r="AO215" s="277">
        <v>43200</v>
      </c>
      <c r="AP215" s="262">
        <v>1.7483500867811801E-2</v>
      </c>
      <c r="AQ215" s="308">
        <f t="shared" si="10"/>
        <v>8.8512975434519109E-2</v>
      </c>
      <c r="AS215" s="277">
        <v>30917.927780160298</v>
      </c>
      <c r="AT215" s="262">
        <v>9.2855406184825704E-4</v>
      </c>
      <c r="AU215" s="308">
        <f t="shared" si="11"/>
        <v>2.6085674996964951E-3</v>
      </c>
      <c r="AY215" s="299">
        <v>60</v>
      </c>
      <c r="AZ215" s="300">
        <f>AO251</f>
        <v>449922</v>
      </c>
      <c r="BA215" s="286">
        <f t="shared" si="12"/>
        <v>83217.060675377666</v>
      </c>
      <c r="BB215" s="301">
        <f>SUMPRODUCT(AO251:$AO$311,AP251:$AP$311)/SUM(AP251:$AP$311)-$AZ$209</f>
        <v>246815.17732801562</v>
      </c>
      <c r="BC215" s="317">
        <f t="shared" si="16"/>
        <v>8322</v>
      </c>
      <c r="BD215" s="318">
        <f t="shared" si="13"/>
        <v>24682</v>
      </c>
      <c r="BE215" s="273">
        <f t="shared" si="14"/>
        <v>2.2693994837721623E-2</v>
      </c>
      <c r="BF215" s="273">
        <f t="shared" si="14"/>
        <v>6.730751989721763E-2</v>
      </c>
      <c r="BH215" s="316">
        <f t="shared" si="17"/>
        <v>2.3E-2</v>
      </c>
      <c r="BI215" s="316">
        <f t="shared" si="15"/>
        <v>6.7000000000000004E-2</v>
      </c>
    </row>
    <row r="216" spans="40:61" x14ac:dyDescent="0.25">
      <c r="AN216" s="262">
        <f t="shared" si="9"/>
        <v>5</v>
      </c>
      <c r="AO216" s="277">
        <v>76963</v>
      </c>
      <c r="AP216" s="262">
        <v>1.69562447343365E-2</v>
      </c>
      <c r="AQ216" s="308">
        <f t="shared" si="10"/>
        <v>0.10546922016885561</v>
      </c>
      <c r="AS216" s="277">
        <v>36137.839211627703</v>
      </c>
      <c r="AT216" s="262">
        <v>1.0250297914716599E-3</v>
      </c>
      <c r="AU216" s="308">
        <f t="shared" si="11"/>
        <v>3.6335972911681553E-3</v>
      </c>
      <c r="AY216" s="299">
        <v>65</v>
      </c>
      <c r="AZ216" s="300">
        <f>AO256</f>
        <v>489838</v>
      </c>
      <c r="BA216" s="286">
        <f t="shared" si="12"/>
        <v>123133.06067537767</v>
      </c>
      <c r="BB216" s="301">
        <f>SUMPRODUCT(AO256:$AO$311,AP256:$AP$311)/SUM(AP256:$AP$311)-$AZ$209</f>
        <v>270031.32318617107</v>
      </c>
      <c r="BC216" s="317">
        <f t="shared" si="16"/>
        <v>12313</v>
      </c>
      <c r="BD216" s="318">
        <f t="shared" si="13"/>
        <v>27003</v>
      </c>
      <c r="BE216" s="273">
        <f t="shared" si="14"/>
        <v>3.3577404282247821E-2</v>
      </c>
      <c r="BF216" s="273">
        <f t="shared" si="14"/>
        <v>7.3636859240927291E-2</v>
      </c>
      <c r="BH216" s="316">
        <f t="shared" si="17"/>
        <v>3.4000000000000002E-2</v>
      </c>
      <c r="BI216" s="316">
        <f t="shared" si="15"/>
        <v>7.3999999999999996E-2</v>
      </c>
    </row>
    <row r="217" spans="40:61" x14ac:dyDescent="0.25">
      <c r="AN217" s="262">
        <f t="shared" si="9"/>
        <v>6</v>
      </c>
      <c r="AO217" s="277">
        <v>82096</v>
      </c>
      <c r="AP217" s="262">
        <v>1.6884707927584001E-2</v>
      </c>
      <c r="AQ217" s="308">
        <f t="shared" si="10"/>
        <v>0.12235392809643961</v>
      </c>
      <c r="AS217" s="277">
        <v>37265.0590498909</v>
      </c>
      <c r="AT217" s="262">
        <v>1.04799349515919E-3</v>
      </c>
      <c r="AU217" s="308">
        <f t="shared" si="11"/>
        <v>4.6815907863273455E-3</v>
      </c>
      <c r="AY217" s="299">
        <v>70</v>
      </c>
      <c r="AZ217" s="300">
        <f>AO260</f>
        <v>529162</v>
      </c>
      <c r="BA217" s="286">
        <f t="shared" si="12"/>
        <v>162457.06067537767</v>
      </c>
      <c r="BB217" s="301">
        <f>SUMPRODUCT(AO260:$AO$311,AP260:$AP$311)/SUM(AP260:$AP$311)-$AZ$209</f>
        <v>288635.65370175958</v>
      </c>
      <c r="BC217" s="317">
        <f t="shared" si="16"/>
        <v>16246</v>
      </c>
      <c r="BD217" s="318">
        <f t="shared" si="13"/>
        <v>28864</v>
      </c>
      <c r="BE217" s="273">
        <f t="shared" si="14"/>
        <v>4.4302648417883381E-2</v>
      </c>
      <c r="BF217" s="273">
        <f t="shared" si="14"/>
        <v>7.871178406584918E-2</v>
      </c>
      <c r="BH217" s="316">
        <f t="shared" si="17"/>
        <v>4.3999999999999997E-2</v>
      </c>
      <c r="BI217" s="316">
        <f t="shared" si="15"/>
        <v>7.9000000000000001E-2</v>
      </c>
    </row>
    <row r="218" spans="40:61" x14ac:dyDescent="0.25">
      <c r="AN218" s="262">
        <f t="shared" si="9"/>
        <v>7</v>
      </c>
      <c r="AO218" s="277">
        <v>87501</v>
      </c>
      <c r="AP218" s="262">
        <v>1.6838321917706501E-2</v>
      </c>
      <c r="AQ218" s="308">
        <f t="shared" si="10"/>
        <v>0.13919225001414612</v>
      </c>
      <c r="AS218" s="277">
        <v>37553.2348378264</v>
      </c>
      <c r="AT218" s="262">
        <v>1.1200505045849099E-3</v>
      </c>
      <c r="AU218" s="308">
        <f t="shared" si="11"/>
        <v>5.8016412909122558E-3</v>
      </c>
      <c r="AY218" s="299">
        <v>75</v>
      </c>
      <c r="AZ218" s="300">
        <f>AO265</f>
        <v>557238</v>
      </c>
      <c r="BA218" s="286">
        <f t="shared" si="12"/>
        <v>190533.06067537767</v>
      </c>
      <c r="BB218" s="301">
        <f>SUMPRODUCT(AO265:$AO$311,AP265:$AP$311)/SUM(AP265:$AP$311)-$AZ$209</f>
        <v>311677.65390725754</v>
      </c>
      <c r="BC218" s="317">
        <f t="shared" si="16"/>
        <v>19053</v>
      </c>
      <c r="BD218" s="318">
        <f t="shared" si="13"/>
        <v>31168</v>
      </c>
      <c r="BE218" s="273">
        <f t="shared" si="14"/>
        <v>5.1957303970573188E-2</v>
      </c>
      <c r="BF218" s="273">
        <f t="shared" si="14"/>
        <v>8.4994764612125392E-2</v>
      </c>
      <c r="BH218" s="316">
        <f t="shared" si="17"/>
        <v>5.1999999999999998E-2</v>
      </c>
      <c r="BI218" s="316">
        <f t="shared" si="15"/>
        <v>8.5000000000000006E-2</v>
      </c>
    </row>
    <row r="219" spans="40:61" x14ac:dyDescent="0.25">
      <c r="AN219" s="262">
        <f t="shared" si="9"/>
        <v>8</v>
      </c>
      <c r="AO219" s="277">
        <v>89211</v>
      </c>
      <c r="AP219" s="262">
        <v>1.6730725315289598E-2</v>
      </c>
      <c r="AQ219" s="308">
        <f t="shared" si="10"/>
        <v>0.15592297532943572</v>
      </c>
      <c r="AS219" s="277">
        <v>43029.051132216598</v>
      </c>
      <c r="AT219" s="262">
        <v>2.0698615403582899E-3</v>
      </c>
      <c r="AU219" s="308">
        <f t="shared" si="11"/>
        <v>7.8715028312705462E-3</v>
      </c>
      <c r="AY219" s="299">
        <v>80</v>
      </c>
      <c r="AZ219" s="300">
        <f>AO271</f>
        <v>595966</v>
      </c>
      <c r="BA219" s="286">
        <f t="shared" si="12"/>
        <v>229261.06067537767</v>
      </c>
      <c r="BB219" s="301">
        <f>SUMPRODUCT(AO271:$AO$311,AP271:$AP$311)/SUM(AP271:$AP$311)-$AZ$209</f>
        <v>338900.92341252422</v>
      </c>
      <c r="BC219" s="317">
        <f t="shared" si="16"/>
        <v>22926</v>
      </c>
      <c r="BD219" s="318">
        <f t="shared" si="13"/>
        <v>33890</v>
      </c>
      <c r="BE219" s="273">
        <f t="shared" si="14"/>
        <v>6.2518928821149469E-2</v>
      </c>
      <c r="BF219" s="273">
        <f t="shared" si="14"/>
        <v>9.2417626177647899E-2</v>
      </c>
      <c r="BH219" s="316">
        <f t="shared" si="17"/>
        <v>6.3E-2</v>
      </c>
      <c r="BI219" s="316">
        <f t="shared" si="15"/>
        <v>9.1999999999999998E-2</v>
      </c>
    </row>
    <row r="220" spans="40:61" x14ac:dyDescent="0.25">
      <c r="AN220" s="262">
        <f t="shared" si="9"/>
        <v>9</v>
      </c>
      <c r="AO220" s="277">
        <v>94785</v>
      </c>
      <c r="AP220" s="262">
        <v>1.6374425394896201E-2</v>
      </c>
      <c r="AQ220" s="308">
        <f t="shared" si="10"/>
        <v>0.17229740072433192</v>
      </c>
      <c r="AS220" s="277">
        <v>49791.8938381798</v>
      </c>
      <c r="AT220" s="262">
        <v>2.40043698080838E-3</v>
      </c>
      <c r="AU220" s="308">
        <f t="shared" si="11"/>
        <v>1.0271939812078926E-2</v>
      </c>
      <c r="AY220" s="299">
        <v>85</v>
      </c>
      <c r="AZ220" s="300">
        <f>AO277</f>
        <v>628022</v>
      </c>
      <c r="BA220" s="286">
        <f t="shared" si="12"/>
        <v>261317.06067537767</v>
      </c>
      <c r="BB220" s="301">
        <f>SUMPRODUCT(AO278:$AO$311,AP278:$AP$311)/SUM(AP278:$AP$311)-$AZ$209</f>
        <v>375286.61332590814</v>
      </c>
      <c r="BC220" s="317">
        <f t="shared" si="16"/>
        <v>26132</v>
      </c>
      <c r="BD220" s="318">
        <f t="shared" si="13"/>
        <v>37529</v>
      </c>
      <c r="BE220" s="273">
        <f t="shared" si="14"/>
        <v>7.1261652619483473E-2</v>
      </c>
      <c r="BF220" s="273">
        <f t="shared" si="14"/>
        <v>0.102341135816493</v>
      </c>
      <c r="BH220" s="316">
        <f t="shared" si="17"/>
        <v>7.0999999999999994E-2</v>
      </c>
      <c r="BI220" s="316">
        <f t="shared" si="15"/>
        <v>0.10199999999999999</v>
      </c>
    </row>
    <row r="221" spans="40:61" x14ac:dyDescent="0.25">
      <c r="AN221" s="262">
        <f t="shared" si="9"/>
        <v>10</v>
      </c>
      <c r="AO221" s="277">
        <v>100812</v>
      </c>
      <c r="AP221" s="262">
        <v>1.6024026168338701E-2</v>
      </c>
      <c r="AQ221" s="308">
        <f t="shared" si="10"/>
        <v>0.18832142689267062</v>
      </c>
      <c r="AS221" s="277">
        <v>52206.6164116324</v>
      </c>
      <c r="AT221" s="262">
        <v>2.6091130054418802E-3</v>
      </c>
      <c r="AU221" s="308">
        <f t="shared" si="11"/>
        <v>1.2881052817520805E-2</v>
      </c>
      <c r="AY221" s="299">
        <v>90</v>
      </c>
      <c r="AZ221" s="300">
        <f>AO283</f>
        <v>688431</v>
      </c>
      <c r="BA221" s="286">
        <f t="shared" si="12"/>
        <v>321726.06067537767</v>
      </c>
      <c r="BB221" s="301">
        <f>SUMPRODUCT(AO283:$AO$311,AP283:$AP$311)/SUM(AP283:$AP$311)-$AZ$209</f>
        <v>403104.72958981426</v>
      </c>
      <c r="BC221" s="317">
        <f t="shared" si="16"/>
        <v>32173</v>
      </c>
      <c r="BD221" s="318">
        <f t="shared" si="13"/>
        <v>40310</v>
      </c>
      <c r="BE221" s="273">
        <f t="shared" si="14"/>
        <v>8.7735387636868278E-2</v>
      </c>
      <c r="BF221" s="273">
        <f t="shared" si="14"/>
        <v>0.10992488967899046</v>
      </c>
      <c r="BH221" s="316">
        <f t="shared" si="17"/>
        <v>8.7999999999999995E-2</v>
      </c>
      <c r="BI221" s="316">
        <f t="shared" si="15"/>
        <v>0.11</v>
      </c>
    </row>
    <row r="222" spans="40:61" ht="15.75" thickBot="1" x14ac:dyDescent="0.3">
      <c r="AN222" s="262">
        <f t="shared" si="9"/>
        <v>11</v>
      </c>
      <c r="AO222" s="277">
        <v>100994</v>
      </c>
      <c r="AP222" s="262">
        <v>1.58543630085358E-2</v>
      </c>
      <c r="AQ222" s="308">
        <f t="shared" si="10"/>
        <v>0.20417578990120641</v>
      </c>
      <c r="AS222" s="277">
        <v>78066.582789908905</v>
      </c>
      <c r="AT222" s="262">
        <v>2.6947493436635999E-3</v>
      </c>
      <c r="AU222" s="308">
        <f t="shared" si="11"/>
        <v>1.5575802161184406E-2</v>
      </c>
      <c r="AY222" s="303">
        <v>95</v>
      </c>
      <c r="AZ222" s="304">
        <f>AO292</f>
        <v>764649</v>
      </c>
      <c r="BA222" s="319">
        <f t="shared" si="12"/>
        <v>397944.06067537767</v>
      </c>
      <c r="BB222" s="305">
        <f>SUMPRODUCT(AO292:$AO$311,AP292:$AP$311)/SUM(AP292:$AP$311)-$AZ$209</f>
        <v>459200.93288139481</v>
      </c>
      <c r="BC222" s="320">
        <f t="shared" si="16"/>
        <v>39794</v>
      </c>
      <c r="BD222" s="321">
        <f t="shared" si="13"/>
        <v>45920</v>
      </c>
      <c r="BE222" s="273">
        <f t="shared" si="14"/>
        <v>0.10851776382748068</v>
      </c>
      <c r="BF222" s="273">
        <f t="shared" si="14"/>
        <v>0.12522329283203279</v>
      </c>
      <c r="BH222" s="316">
        <f t="shared" si="17"/>
        <v>0.109</v>
      </c>
      <c r="BI222" s="316">
        <f t="shared" si="15"/>
        <v>0.125</v>
      </c>
    </row>
    <row r="223" spans="40:61" x14ac:dyDescent="0.25">
      <c r="AN223" s="262">
        <f t="shared" si="9"/>
        <v>12</v>
      </c>
      <c r="AO223" s="277">
        <v>103553</v>
      </c>
      <c r="AP223" s="262">
        <v>1.5811765098404901E-2</v>
      </c>
      <c r="AQ223" s="308">
        <f t="shared" si="10"/>
        <v>0.21998755499961131</v>
      </c>
      <c r="AS223" s="277">
        <v>89328.659295692603</v>
      </c>
      <c r="AT223" s="262">
        <v>3.1550276432682602E-3</v>
      </c>
      <c r="AU223" s="308">
        <f t="shared" si="11"/>
        <v>1.8730829804452665E-2</v>
      </c>
      <c r="BB223" s="322"/>
      <c r="BC223" s="322"/>
      <c r="BD223" s="322"/>
      <c r="BE223" s="269"/>
      <c r="BF223" s="269"/>
    </row>
    <row r="224" spans="40:61" x14ac:dyDescent="0.25">
      <c r="AN224" s="262">
        <f t="shared" si="9"/>
        <v>13</v>
      </c>
      <c r="AO224" s="277">
        <v>117173</v>
      </c>
      <c r="AP224" s="262">
        <v>1.54790133173014E-2</v>
      </c>
      <c r="AQ224" s="308">
        <f t="shared" si="10"/>
        <v>0.23546656831691271</v>
      </c>
      <c r="AS224" s="277">
        <v>108987.249430864</v>
      </c>
      <c r="AT224" s="262">
        <v>3.16089100960614E-3</v>
      </c>
      <c r="AU224" s="308">
        <f t="shared" si="11"/>
        <v>2.1891720814058806E-2</v>
      </c>
      <c r="AW224" s="322"/>
      <c r="AX224" s="322"/>
      <c r="AY224" s="269"/>
      <c r="AZ224" s="269"/>
    </row>
    <row r="225" spans="40:61" x14ac:dyDescent="0.25">
      <c r="AN225" s="262">
        <f t="shared" si="9"/>
        <v>14</v>
      </c>
      <c r="AO225" s="277">
        <v>118139</v>
      </c>
      <c r="AP225" s="262">
        <v>1.5400228127380001E-2</v>
      </c>
      <c r="AQ225" s="308">
        <f t="shared" si="10"/>
        <v>0.25086679644429272</v>
      </c>
      <c r="AS225" s="277">
        <v>122640.589571991</v>
      </c>
      <c r="AT225" s="262">
        <v>3.1755698535895298E-3</v>
      </c>
      <c r="AU225" s="308">
        <f t="shared" si="11"/>
        <v>2.5067290667648335E-2</v>
      </c>
      <c r="AW225" s="322"/>
      <c r="AX225" s="322"/>
      <c r="AY225" s="269"/>
      <c r="AZ225" s="269">
        <v>3359060.8251127</v>
      </c>
    </row>
    <row r="226" spans="40:61" ht="15.75" thickBot="1" x14ac:dyDescent="0.3">
      <c r="AN226" s="262">
        <f t="shared" si="9"/>
        <v>15</v>
      </c>
      <c r="AO226" s="277">
        <v>141514</v>
      </c>
      <c r="AP226" s="262">
        <v>1.5364732904274E-2</v>
      </c>
      <c r="AQ226" s="308">
        <f t="shared" si="10"/>
        <v>0.2662315293485667</v>
      </c>
      <c r="AS226" s="277">
        <v>125732.048923476</v>
      </c>
      <c r="AT226" s="262">
        <v>3.2235956635286401E-3</v>
      </c>
      <c r="AU226" s="308">
        <f t="shared" si="11"/>
        <v>2.8290886331176976E-2</v>
      </c>
      <c r="AW226" s="322"/>
      <c r="AX226" s="322"/>
      <c r="AY226" s="262" t="s">
        <v>369</v>
      </c>
    </row>
    <row r="227" spans="40:61" ht="15.75" thickBot="1" x14ac:dyDescent="0.3">
      <c r="AN227" s="262">
        <f t="shared" si="9"/>
        <v>16</v>
      </c>
      <c r="AO227" s="277">
        <v>142105</v>
      </c>
      <c r="AP227" s="262">
        <v>1.51333856394632E-2</v>
      </c>
      <c r="AQ227" s="308">
        <f t="shared" si="10"/>
        <v>0.2813649149880299</v>
      </c>
      <c r="AS227" s="277">
        <v>128164.038228024</v>
      </c>
      <c r="AT227" s="262">
        <v>3.44440676314535E-3</v>
      </c>
      <c r="AU227" s="308">
        <f t="shared" si="11"/>
        <v>3.1735293094322325E-2</v>
      </c>
      <c r="AW227" s="322"/>
      <c r="AX227" s="322"/>
      <c r="AY227" s="262" t="s">
        <v>370</v>
      </c>
      <c r="AZ227" s="307">
        <f>SUMPRODUCT(AS210:AS311,AT210:AT311)</f>
        <v>400000</v>
      </c>
    </row>
    <row r="228" spans="40:61" ht="15.75" thickBot="1" x14ac:dyDescent="0.3">
      <c r="AN228" s="262">
        <f t="shared" si="9"/>
        <v>17</v>
      </c>
      <c r="AO228" s="277">
        <v>176249</v>
      </c>
      <c r="AP228" s="262">
        <v>1.4914586455062899E-2</v>
      </c>
      <c r="AQ228" s="308">
        <f t="shared" si="10"/>
        <v>0.29627950144309279</v>
      </c>
      <c r="AS228" s="277">
        <v>143267.30745754001</v>
      </c>
      <c r="AT228" s="262">
        <v>3.5417758676784101E-3</v>
      </c>
      <c r="AU228" s="308">
        <f t="shared" si="11"/>
        <v>3.5277068962000738E-2</v>
      </c>
      <c r="AW228" s="322"/>
      <c r="AX228" s="322"/>
    </row>
    <row r="229" spans="40:61" ht="15.75" thickBot="1" x14ac:dyDescent="0.3">
      <c r="AN229" s="262">
        <f t="shared" si="9"/>
        <v>18</v>
      </c>
      <c r="AO229" s="277">
        <v>194484</v>
      </c>
      <c r="AP229" s="262">
        <v>1.48564172695315E-2</v>
      </c>
      <c r="AQ229" s="308">
        <f t="shared" si="10"/>
        <v>0.3111359187126243</v>
      </c>
      <c r="AS229" s="277">
        <v>143800.55174612501</v>
      </c>
      <c r="AT229" s="262">
        <v>3.5431111732912102E-3</v>
      </c>
      <c r="AU229" s="308">
        <f t="shared" si="11"/>
        <v>3.8820180135291947E-2</v>
      </c>
      <c r="AW229" s="322"/>
      <c r="AX229" s="322"/>
      <c r="AY229" s="295" t="s">
        <v>256</v>
      </c>
      <c r="AZ229" s="309" t="s">
        <v>372</v>
      </c>
      <c r="BA229" s="298" t="s">
        <v>257</v>
      </c>
      <c r="BB229" s="310" t="s">
        <v>258</v>
      </c>
      <c r="BC229" s="298" t="s">
        <v>257</v>
      </c>
      <c r="BD229" s="310" t="s">
        <v>258</v>
      </c>
    </row>
    <row r="230" spans="40:61" x14ac:dyDescent="0.25">
      <c r="AN230" s="262">
        <f t="shared" si="9"/>
        <v>19</v>
      </c>
      <c r="AO230" s="277">
        <v>215614</v>
      </c>
      <c r="AP230" s="262">
        <v>1.4727385121914099E-2</v>
      </c>
      <c r="AQ230" s="308">
        <f t="shared" si="10"/>
        <v>0.32586330383453843</v>
      </c>
      <c r="AS230" s="277">
        <v>144309.265368464</v>
      </c>
      <c r="AT230" s="262">
        <v>3.6878449729917401E-3</v>
      </c>
      <c r="AU230" s="308">
        <f t="shared" si="11"/>
        <v>4.2508025108283685E-2</v>
      </c>
      <c r="AW230" s="322"/>
      <c r="AX230" s="322"/>
      <c r="AY230" s="299">
        <v>50</v>
      </c>
      <c r="AZ230" s="311">
        <f>AS280</f>
        <v>425647.904113803</v>
      </c>
      <c r="BA230" s="312">
        <f>AZ230-$AZ$227</f>
        <v>25647.904113803001</v>
      </c>
      <c r="BB230" s="313">
        <f>SUMPRODUCT(AS280:$AS$311,AT280:$AT$311)/SUM(AT280:$AT$311)-$AZ$227</f>
        <v>113475.00779097585</v>
      </c>
      <c r="BC230" s="314">
        <f>ROUND(BA230/10,0)</f>
        <v>2565</v>
      </c>
      <c r="BD230" s="315">
        <f t="shared" ref="BD230:BD239" si="18">ROUND(BB230/10,0)</f>
        <v>11348</v>
      </c>
      <c r="BE230" s="273">
        <f>BC230/$AZ$227</f>
        <v>6.4124999999999998E-3</v>
      </c>
      <c r="BF230" s="273">
        <f>BD230/$AZ$227</f>
        <v>2.8369999999999999E-2</v>
      </c>
      <c r="BH230" s="316">
        <f>ROUND(BE230,3)</f>
        <v>6.0000000000000001E-3</v>
      </c>
      <c r="BI230" s="316">
        <f t="shared" ref="BI230:BI239" si="19">ROUND(BF230,3)</f>
        <v>2.8000000000000001E-2</v>
      </c>
    </row>
    <row r="231" spans="40:61" x14ac:dyDescent="0.25">
      <c r="AN231" s="262">
        <f t="shared" si="9"/>
        <v>20</v>
      </c>
      <c r="AO231" s="277">
        <v>219451</v>
      </c>
      <c r="AP231" s="262">
        <v>1.4538653979252201E-2</v>
      </c>
      <c r="AQ231" s="308">
        <f t="shared" si="10"/>
        <v>0.34040195781379062</v>
      </c>
      <c r="AS231" s="277">
        <v>145774.79405529099</v>
      </c>
      <c r="AT231" s="262">
        <v>4.1147466941329099E-3</v>
      </c>
      <c r="AU231" s="308">
        <f t="shared" si="11"/>
        <v>4.6622771802416599E-2</v>
      </c>
      <c r="AW231" s="322"/>
      <c r="AX231" s="322"/>
      <c r="AY231" s="299">
        <v>55</v>
      </c>
      <c r="AZ231" s="300">
        <f>AS284</f>
        <v>445250.64530494798</v>
      </c>
      <c r="BA231" s="286">
        <f t="shared" ref="BA231:BA239" si="20">AZ231-$AZ$227</f>
        <v>45250.645304947975</v>
      </c>
      <c r="BB231" s="301">
        <f>SUMPRODUCT(AS284:$AS$311,AT284:$AT$311)/SUM(AT284:$AT$311)-$AZ$227</f>
        <v>123412.56755437981</v>
      </c>
      <c r="BC231" s="317">
        <f t="shared" ref="BC231:BC239" si="21">ROUND(BA231/10,0)</f>
        <v>4525</v>
      </c>
      <c r="BD231" s="318">
        <f t="shared" si="18"/>
        <v>12341</v>
      </c>
      <c r="BE231" s="273">
        <f t="shared" ref="BE231:BF239" si="22">BC231/$AZ$227</f>
        <v>1.13125E-2</v>
      </c>
      <c r="BF231" s="273">
        <f t="shared" si="22"/>
        <v>3.0852500000000001E-2</v>
      </c>
      <c r="BH231" s="316">
        <f t="shared" ref="BH231:BH239" si="23">ROUND(BE231,3)</f>
        <v>1.0999999999999999E-2</v>
      </c>
      <c r="BI231" s="316">
        <f t="shared" si="19"/>
        <v>3.1E-2</v>
      </c>
    </row>
    <row r="232" spans="40:61" x14ac:dyDescent="0.25">
      <c r="AN232" s="262">
        <f t="shared" si="9"/>
        <v>21</v>
      </c>
      <c r="AO232" s="277">
        <v>221729</v>
      </c>
      <c r="AP232" s="262">
        <v>1.44678456532202E-2</v>
      </c>
      <c r="AQ232" s="308">
        <f t="shared" si="10"/>
        <v>0.3548698034670108</v>
      </c>
      <c r="AS232" s="277">
        <v>150688.66756320701</v>
      </c>
      <c r="AT232" s="262">
        <v>4.21716381110994E-3</v>
      </c>
      <c r="AU232" s="308">
        <f t="shared" si="11"/>
        <v>5.0839935613526538E-2</v>
      </c>
      <c r="AX232" s="323"/>
      <c r="AY232" s="299">
        <v>60</v>
      </c>
      <c r="AZ232" s="300">
        <f>AS288</f>
        <v>466258.183921827</v>
      </c>
      <c r="BA232" s="286">
        <f t="shared" si="20"/>
        <v>66258.183921827003</v>
      </c>
      <c r="BB232" s="301">
        <f>SUMPRODUCT(AS288:$AS$311,AT288:$AT$311)/SUM(AT288:$AT$311)-$AZ$227</f>
        <v>133463.8206099089</v>
      </c>
      <c r="BC232" s="317">
        <f t="shared" si="21"/>
        <v>6626</v>
      </c>
      <c r="BD232" s="318">
        <f t="shared" si="18"/>
        <v>13346</v>
      </c>
      <c r="BE232" s="273">
        <f t="shared" si="22"/>
        <v>1.6565E-2</v>
      </c>
      <c r="BF232" s="273">
        <f t="shared" si="22"/>
        <v>3.3364999999999999E-2</v>
      </c>
      <c r="BH232" s="316">
        <f t="shared" si="23"/>
        <v>1.7000000000000001E-2</v>
      </c>
      <c r="BI232" s="316">
        <f t="shared" si="19"/>
        <v>3.3000000000000002E-2</v>
      </c>
    </row>
    <row r="233" spans="40:61" x14ac:dyDescent="0.25">
      <c r="AN233" s="262">
        <f t="shared" si="9"/>
        <v>22</v>
      </c>
      <c r="AO233" s="277">
        <v>246804</v>
      </c>
      <c r="AP233" s="262">
        <v>1.4290169205491801E-2</v>
      </c>
      <c r="AQ233" s="308">
        <f t="shared" si="10"/>
        <v>0.36915997267250261</v>
      </c>
      <c r="AS233" s="277">
        <v>152685.65432505801</v>
      </c>
      <c r="AT233" s="262">
        <v>4.6584185890191799E-3</v>
      </c>
      <c r="AU233" s="308">
        <f t="shared" si="11"/>
        <v>5.5498354202545716E-2</v>
      </c>
      <c r="AX233" s="323"/>
      <c r="AY233" s="299">
        <v>65</v>
      </c>
      <c r="AZ233" s="300">
        <f>AS291</f>
        <v>473600.59338807198</v>
      </c>
      <c r="BA233" s="286">
        <f t="shared" si="20"/>
        <v>73600.593388071982</v>
      </c>
      <c r="BB233" s="301">
        <f>SUMPRODUCT(AS291:$AS$311,AT291:$AT$311)/SUM(AT291:$AT$311)-$AZ$227</f>
        <v>141277.95095161896</v>
      </c>
      <c r="BC233" s="317">
        <f t="shared" si="21"/>
        <v>7360</v>
      </c>
      <c r="BD233" s="318">
        <f t="shared" si="18"/>
        <v>14128</v>
      </c>
      <c r="BE233" s="273">
        <f t="shared" si="22"/>
        <v>1.84E-2</v>
      </c>
      <c r="BF233" s="273">
        <f t="shared" si="22"/>
        <v>3.5319999999999997E-2</v>
      </c>
      <c r="BH233" s="316">
        <f t="shared" si="23"/>
        <v>1.7999999999999999E-2</v>
      </c>
      <c r="BI233" s="316">
        <f t="shared" si="19"/>
        <v>3.5000000000000003E-2</v>
      </c>
    </row>
    <row r="234" spans="40:61" x14ac:dyDescent="0.25">
      <c r="AN234" s="262">
        <f t="shared" si="9"/>
        <v>23</v>
      </c>
      <c r="AO234" s="277">
        <v>252693</v>
      </c>
      <c r="AP234" s="262">
        <v>1.4211311167498301E-2</v>
      </c>
      <c r="AQ234" s="308">
        <f t="shared" si="10"/>
        <v>0.38337128384000091</v>
      </c>
      <c r="AS234" s="277">
        <v>152898.69006250199</v>
      </c>
      <c r="AT234" s="262">
        <v>4.8092557769021304E-3</v>
      </c>
      <c r="AU234" s="308">
        <f t="shared" si="11"/>
        <v>6.0307609979447847E-2</v>
      </c>
      <c r="AX234" s="323"/>
      <c r="AY234" s="299">
        <v>70</v>
      </c>
      <c r="AZ234" s="300">
        <f>AS294</f>
        <v>493654.889367586</v>
      </c>
      <c r="BA234" s="286">
        <f t="shared" si="20"/>
        <v>93654.889367586002</v>
      </c>
      <c r="BB234" s="301">
        <f>SUMPRODUCT(AS294:$AS$311,AT294:$AT$311)/SUM(AT294:$AT$311)-$AZ$227</f>
        <v>150386.38375018525</v>
      </c>
      <c r="BC234" s="317">
        <f t="shared" si="21"/>
        <v>9365</v>
      </c>
      <c r="BD234" s="318">
        <f t="shared" si="18"/>
        <v>15039</v>
      </c>
      <c r="BE234" s="273">
        <f t="shared" si="22"/>
        <v>2.3412499999999999E-2</v>
      </c>
      <c r="BF234" s="273">
        <f t="shared" si="22"/>
        <v>3.7597499999999999E-2</v>
      </c>
      <c r="BH234" s="316">
        <f t="shared" si="23"/>
        <v>2.3E-2</v>
      </c>
      <c r="BI234" s="316">
        <f t="shared" si="19"/>
        <v>3.7999999999999999E-2</v>
      </c>
    </row>
    <row r="235" spans="40:61" x14ac:dyDescent="0.25">
      <c r="AN235" s="262">
        <f t="shared" si="9"/>
        <v>24</v>
      </c>
      <c r="AO235" s="277">
        <v>273560</v>
      </c>
      <c r="AP235" s="262">
        <v>1.40978867193175E-2</v>
      </c>
      <c r="AQ235" s="308">
        <f t="shared" si="10"/>
        <v>0.39746917055931841</v>
      </c>
      <c r="AS235" s="277">
        <v>156722.97329785299</v>
      </c>
      <c r="AT235" s="262">
        <v>5.0831369809254999E-3</v>
      </c>
      <c r="AU235" s="308">
        <f t="shared" si="11"/>
        <v>6.539074696037335E-2</v>
      </c>
      <c r="AX235" s="323"/>
      <c r="AY235" s="299">
        <v>75</v>
      </c>
      <c r="AZ235" s="300">
        <f>AS297</f>
        <v>515968.38825979101</v>
      </c>
      <c r="BA235" s="286">
        <f t="shared" si="20"/>
        <v>115968.38825979101</v>
      </c>
      <c r="BB235" s="301">
        <f>SUMPRODUCT(AS297:$AS$311,AT297:$AT$311)/SUM(AT297:$AT$311)-$AZ$227</f>
        <v>158502.07827925356</v>
      </c>
      <c r="BC235" s="317">
        <f t="shared" si="21"/>
        <v>11597</v>
      </c>
      <c r="BD235" s="318">
        <f t="shared" si="18"/>
        <v>15850</v>
      </c>
      <c r="BE235" s="273">
        <f t="shared" si="22"/>
        <v>2.8992500000000001E-2</v>
      </c>
      <c r="BF235" s="273">
        <f t="shared" si="22"/>
        <v>3.9625E-2</v>
      </c>
      <c r="BH235" s="316">
        <f t="shared" si="23"/>
        <v>2.9000000000000001E-2</v>
      </c>
      <c r="BI235" s="316">
        <f t="shared" si="19"/>
        <v>0.04</v>
      </c>
    </row>
    <row r="236" spans="40:61" x14ac:dyDescent="0.25">
      <c r="AN236" s="262">
        <f t="shared" si="9"/>
        <v>25</v>
      </c>
      <c r="AO236" s="277">
        <v>276646</v>
      </c>
      <c r="AP236" s="262">
        <v>1.3896862464497299E-2</v>
      </c>
      <c r="AQ236" s="308">
        <f t="shared" si="10"/>
        <v>0.41136603302381569</v>
      </c>
      <c r="AS236" s="277">
        <v>167776.42005964299</v>
      </c>
      <c r="AT236" s="262">
        <v>5.65141531937941E-3</v>
      </c>
      <c r="AU236" s="308">
        <f t="shared" si="11"/>
        <v>7.1042162279752755E-2</v>
      </c>
      <c r="AX236" s="323"/>
      <c r="AY236" s="299">
        <v>80</v>
      </c>
      <c r="AZ236" s="300">
        <f>AS300</f>
        <v>531376.02828020102</v>
      </c>
      <c r="BA236" s="286">
        <f t="shared" si="20"/>
        <v>131376.02828020102</v>
      </c>
      <c r="BB236" s="301">
        <f>SUMPRODUCT(AS300:$AS$311,AT300:$AT$311)/SUM(AT300:$AT$311)-$AZ$227</f>
        <v>166858.53705309925</v>
      </c>
      <c r="BC236" s="317">
        <f t="shared" si="21"/>
        <v>13138</v>
      </c>
      <c r="BD236" s="318">
        <f t="shared" si="18"/>
        <v>16686</v>
      </c>
      <c r="BE236" s="273">
        <f t="shared" si="22"/>
        <v>3.2844999999999999E-2</v>
      </c>
      <c r="BF236" s="273">
        <f t="shared" si="22"/>
        <v>4.1715000000000002E-2</v>
      </c>
      <c r="BH236" s="316">
        <f t="shared" si="23"/>
        <v>3.3000000000000002E-2</v>
      </c>
      <c r="BI236" s="316">
        <f t="shared" si="19"/>
        <v>4.2000000000000003E-2</v>
      </c>
    </row>
    <row r="237" spans="40:61" x14ac:dyDescent="0.25">
      <c r="AN237" s="262">
        <f t="shared" si="9"/>
        <v>26</v>
      </c>
      <c r="AO237" s="277">
        <v>280965</v>
      </c>
      <c r="AP237" s="262">
        <v>1.37559378691178E-2</v>
      </c>
      <c r="AQ237" s="308">
        <f t="shared" si="10"/>
        <v>0.42512197089293347</v>
      </c>
      <c r="AS237" s="277">
        <v>179309.28654136299</v>
      </c>
      <c r="AT237" s="262">
        <v>5.80411375390641E-3</v>
      </c>
      <c r="AU237" s="308">
        <f t="shared" si="11"/>
        <v>7.6846276033659164E-2</v>
      </c>
      <c r="AX237" s="323"/>
      <c r="AY237" s="299">
        <v>85</v>
      </c>
      <c r="AZ237" s="300">
        <f>AS303</f>
        <v>557045.94153552502</v>
      </c>
      <c r="BA237" s="286">
        <f t="shared" si="20"/>
        <v>157045.94153552502</v>
      </c>
      <c r="BB237" s="301">
        <f>SUMPRODUCT(AS303:$AS$311,AT303:$AT$311)/SUM(AT303:$AT$311)-$AZ$227</f>
        <v>173708.43145167327</v>
      </c>
      <c r="BC237" s="317">
        <f t="shared" si="21"/>
        <v>15705</v>
      </c>
      <c r="BD237" s="318">
        <f t="shared" si="18"/>
        <v>17371</v>
      </c>
      <c r="BE237" s="273">
        <f t="shared" si="22"/>
        <v>3.9262499999999999E-2</v>
      </c>
      <c r="BF237" s="273">
        <f t="shared" si="22"/>
        <v>4.3427500000000001E-2</v>
      </c>
      <c r="BH237" s="316">
        <f t="shared" si="23"/>
        <v>3.9E-2</v>
      </c>
      <c r="BI237" s="316">
        <f t="shared" si="19"/>
        <v>4.2999999999999997E-2</v>
      </c>
    </row>
    <row r="238" spans="40:61" x14ac:dyDescent="0.25">
      <c r="AN238" s="262">
        <f t="shared" si="9"/>
        <v>27</v>
      </c>
      <c r="AO238" s="277">
        <v>288564</v>
      </c>
      <c r="AP238" s="262">
        <v>1.34219840948255E-2</v>
      </c>
      <c r="AQ238" s="308">
        <f t="shared" si="10"/>
        <v>0.43854395498775894</v>
      </c>
      <c r="AS238" s="277">
        <v>193388.81723828401</v>
      </c>
      <c r="AT238" s="262">
        <v>5.8801996858271997E-3</v>
      </c>
      <c r="AU238" s="308">
        <f t="shared" si="11"/>
        <v>8.2726475719486367E-2</v>
      </c>
      <c r="AX238" s="323"/>
      <c r="AY238" s="299">
        <v>90</v>
      </c>
      <c r="AZ238" s="300">
        <f>AS306</f>
        <v>572988.85021989001</v>
      </c>
      <c r="BA238" s="286">
        <f t="shared" si="20"/>
        <v>172988.85021989001</v>
      </c>
      <c r="BB238" s="301">
        <f>SUMPRODUCT(AS306:$AS$311,AT306:$AT$311)/SUM(AT306:$AT$311)-$AZ$227</f>
        <v>179283.12046492647</v>
      </c>
      <c r="BC238" s="317">
        <f t="shared" si="21"/>
        <v>17299</v>
      </c>
      <c r="BD238" s="318">
        <f t="shared" si="18"/>
        <v>17928</v>
      </c>
      <c r="BE238" s="273">
        <f t="shared" si="22"/>
        <v>4.3247500000000001E-2</v>
      </c>
      <c r="BF238" s="273">
        <f t="shared" si="22"/>
        <v>4.4819999999999999E-2</v>
      </c>
      <c r="BH238" s="316">
        <f t="shared" si="23"/>
        <v>4.2999999999999997E-2</v>
      </c>
      <c r="BI238" s="316">
        <f t="shared" si="19"/>
        <v>4.4999999999999998E-2</v>
      </c>
    </row>
    <row r="239" spans="40:61" ht="15.75" thickBot="1" x14ac:dyDescent="0.3">
      <c r="AN239" s="262">
        <f t="shared" si="9"/>
        <v>28</v>
      </c>
      <c r="AO239" s="277">
        <v>299873</v>
      </c>
      <c r="AP239" s="262">
        <v>1.3376945774280899E-2</v>
      </c>
      <c r="AQ239" s="308">
        <f t="shared" si="10"/>
        <v>0.45192090076203983</v>
      </c>
      <c r="AS239" s="277">
        <v>198344.96446715799</v>
      </c>
      <c r="AT239" s="262">
        <v>5.88933264008909E-3</v>
      </c>
      <c r="AU239" s="308">
        <f t="shared" si="11"/>
        <v>8.8615808359575457E-2</v>
      </c>
      <c r="AX239" s="323"/>
      <c r="AY239" s="303">
        <v>95</v>
      </c>
      <c r="AZ239" s="304">
        <f>AS308</f>
        <v>578694.96898282098</v>
      </c>
      <c r="BA239" s="319">
        <f t="shared" si="20"/>
        <v>178694.96898282098</v>
      </c>
      <c r="BB239" s="305">
        <f>SUMPRODUCT(AS308:$AS$311,AT308:$AT$311)/SUM(AT308:$AT$311)-$AZ$227</f>
        <v>182340.26646281476</v>
      </c>
      <c r="BC239" s="320">
        <f t="shared" si="21"/>
        <v>17869</v>
      </c>
      <c r="BD239" s="321">
        <f t="shared" si="18"/>
        <v>18234</v>
      </c>
      <c r="BE239" s="273">
        <f t="shared" si="22"/>
        <v>4.4672499999999997E-2</v>
      </c>
      <c r="BF239" s="273">
        <f t="shared" si="22"/>
        <v>4.5585000000000001E-2</v>
      </c>
      <c r="BH239" s="316">
        <f t="shared" si="23"/>
        <v>4.4999999999999998E-2</v>
      </c>
      <c r="BI239" s="316">
        <f t="shared" si="19"/>
        <v>4.5999999999999999E-2</v>
      </c>
    </row>
    <row r="240" spans="40:61" x14ac:dyDescent="0.25">
      <c r="AN240" s="262">
        <f t="shared" si="9"/>
        <v>29</v>
      </c>
      <c r="AO240" s="277">
        <v>300243</v>
      </c>
      <c r="AP240" s="262">
        <v>1.3287470129786301E-2</v>
      </c>
      <c r="AQ240" s="308">
        <f t="shared" si="10"/>
        <v>0.46520837089182615</v>
      </c>
      <c r="AS240" s="277">
        <v>199129.82670611801</v>
      </c>
      <c r="AT240" s="262">
        <v>6.1581274245247003E-3</v>
      </c>
      <c r="AU240" s="308">
        <f t="shared" si="11"/>
        <v>9.4773935784100163E-2</v>
      </c>
      <c r="AX240" s="323"/>
      <c r="AY240" s="286"/>
    </row>
    <row r="241" spans="40:61" x14ac:dyDescent="0.25">
      <c r="AN241" s="262">
        <f t="shared" si="9"/>
        <v>30</v>
      </c>
      <c r="AO241" s="277">
        <v>322041</v>
      </c>
      <c r="AP241" s="262">
        <v>1.30698365145388E-2</v>
      </c>
      <c r="AQ241" s="308">
        <f t="shared" si="10"/>
        <v>0.47827820740636495</v>
      </c>
      <c r="AS241" s="277">
        <v>208502.684668267</v>
      </c>
      <c r="AT241" s="262">
        <v>6.8243365764532804E-3</v>
      </c>
      <c r="AU241" s="308">
        <f t="shared" si="11"/>
        <v>0.10159827236055344</v>
      </c>
    </row>
    <row r="242" spans="40:61" ht="15.75" thickBot="1" x14ac:dyDescent="0.3">
      <c r="AN242" s="262">
        <f t="shared" si="9"/>
        <v>31</v>
      </c>
      <c r="AO242" s="277">
        <v>324129</v>
      </c>
      <c r="AP242" s="262">
        <v>1.3054775175642601E-2</v>
      </c>
      <c r="AQ242" s="308">
        <f t="shared" si="10"/>
        <v>0.49133298258200753</v>
      </c>
      <c r="AS242" s="277">
        <v>212620.145089525</v>
      </c>
      <c r="AT242" s="262">
        <v>6.9385956177603304E-3</v>
      </c>
      <c r="AU242" s="308">
        <f t="shared" si="11"/>
        <v>0.10853686797831377</v>
      </c>
      <c r="AY242" s="262" t="s">
        <v>373</v>
      </c>
    </row>
    <row r="243" spans="40:61" ht="15.75" thickBot="1" x14ac:dyDescent="0.3">
      <c r="AN243" s="262">
        <f t="shared" si="9"/>
        <v>32</v>
      </c>
      <c r="AO243" s="277">
        <v>325582</v>
      </c>
      <c r="AP243" s="262">
        <v>1.2929349007591601E-2</v>
      </c>
      <c r="AQ243" s="308">
        <f t="shared" si="10"/>
        <v>0.5042623315895991</v>
      </c>
      <c r="AS243" s="277">
        <v>220270.616854691</v>
      </c>
      <c r="AT243" s="262">
        <v>7.3123267059100501E-3</v>
      </c>
      <c r="AU243" s="308">
        <f t="shared" si="11"/>
        <v>0.11584919468422382</v>
      </c>
      <c r="AY243" s="262" t="s">
        <v>370</v>
      </c>
      <c r="AZ243" s="307">
        <f>SUMPRODUCT(AS227:AS327,AT227:AT327)</f>
        <v>397850.39950062725</v>
      </c>
    </row>
    <row r="244" spans="40:61" ht="15.75" thickBot="1" x14ac:dyDescent="0.3">
      <c r="AN244" s="262">
        <f t="shared" si="9"/>
        <v>33</v>
      </c>
      <c r="AO244" s="277">
        <v>371155</v>
      </c>
      <c r="AP244" s="262">
        <v>1.2831732591045499E-2</v>
      </c>
      <c r="AQ244" s="308">
        <f t="shared" si="10"/>
        <v>0.51709406418064463</v>
      </c>
      <c r="AS244" s="277">
        <v>224060.36662784999</v>
      </c>
      <c r="AT244" s="262">
        <v>7.6396234468958501E-3</v>
      </c>
      <c r="AU244" s="308">
        <f t="shared" si="11"/>
        <v>0.12348881813111967</v>
      </c>
      <c r="AX244" s="270"/>
    </row>
    <row r="245" spans="40:61" ht="15.75" thickBot="1" x14ac:dyDescent="0.3">
      <c r="AN245" s="262">
        <f t="shared" si="9"/>
        <v>34</v>
      </c>
      <c r="AO245" s="277">
        <v>373370</v>
      </c>
      <c r="AP245" s="262">
        <v>1.27109686996056E-2</v>
      </c>
      <c r="AQ245" s="308">
        <f t="shared" si="10"/>
        <v>0.52980503288025027</v>
      </c>
      <c r="AS245" s="277">
        <v>231067.56334903801</v>
      </c>
      <c r="AT245" s="262">
        <v>7.9463860846958993E-3</v>
      </c>
      <c r="AU245" s="308">
        <f t="shared" si="11"/>
        <v>0.13143520421581556</v>
      </c>
      <c r="AX245" s="262" t="s">
        <v>374</v>
      </c>
      <c r="AY245" s="295" t="s">
        <v>256</v>
      </c>
      <c r="AZ245" s="309" t="s">
        <v>372</v>
      </c>
      <c r="BA245" s="298" t="s">
        <v>257</v>
      </c>
      <c r="BB245" s="310" t="s">
        <v>258</v>
      </c>
      <c r="BC245" s="298" t="s">
        <v>257</v>
      </c>
      <c r="BD245" s="310" t="s">
        <v>258</v>
      </c>
    </row>
    <row r="246" spans="40:61" x14ac:dyDescent="0.25">
      <c r="AN246" s="262">
        <f t="shared" si="9"/>
        <v>35</v>
      </c>
      <c r="AO246" s="277">
        <v>406630</v>
      </c>
      <c r="AP246" s="262">
        <v>1.26664403155655E-2</v>
      </c>
      <c r="AQ246" s="308">
        <f t="shared" si="10"/>
        <v>0.54247147319581579</v>
      </c>
      <c r="AS246" s="277">
        <v>236915.86471147</v>
      </c>
      <c r="AT246" s="262">
        <v>8.0651883783345001E-3</v>
      </c>
      <c r="AU246" s="308">
        <f t="shared" si="11"/>
        <v>0.13950039259415006</v>
      </c>
      <c r="AX246" s="262">
        <v>0.2</v>
      </c>
      <c r="AY246" s="299">
        <v>50</v>
      </c>
      <c r="AZ246" s="311">
        <f t="shared" ref="AZ246:AZ255" si="24">AZ213+AZ230</f>
        <v>751229.90411380306</v>
      </c>
      <c r="BA246" s="324">
        <f t="shared" ref="BA246:BA255" si="25">(BA213+BA230)*(1-AX246)</f>
        <v>-12380.028168655466</v>
      </c>
      <c r="BB246" s="313">
        <f t="shared" ref="BB246:BB255" si="26">(BB213+BB230)*(1-AX246)</f>
        <v>254212.20667300929</v>
      </c>
      <c r="BC246" s="311">
        <f t="shared" ref="BC246:BD255" si="27">ROUND(BA246/10,0)</f>
        <v>-1238</v>
      </c>
      <c r="BD246" s="313">
        <f t="shared" si="27"/>
        <v>25421</v>
      </c>
      <c r="BE246" s="273">
        <f>BC246/$AZ$243</f>
        <v>-3.1117224000627103E-3</v>
      </c>
      <c r="BF246" s="273">
        <f t="shared" ref="BF246:BF255" si="28">BD246/$AZ$243</f>
        <v>6.3895876520189146E-2</v>
      </c>
      <c r="BH246" s="316">
        <f t="shared" ref="BH246:BI255" si="29">ROUND(BE246,3)</f>
        <v>-3.0000000000000001E-3</v>
      </c>
      <c r="BI246" s="316">
        <f t="shared" si="29"/>
        <v>6.4000000000000001E-2</v>
      </c>
    </row>
    <row r="247" spans="40:61" x14ac:dyDescent="0.25">
      <c r="AN247" s="262">
        <f t="shared" si="9"/>
        <v>36</v>
      </c>
      <c r="AO247" s="277">
        <v>409508</v>
      </c>
      <c r="AP247" s="262">
        <v>1.2654092567353101E-2</v>
      </c>
      <c r="AQ247" s="308">
        <f t="shared" si="10"/>
        <v>0.55512556576316885</v>
      </c>
      <c r="AS247" s="277">
        <v>241004.86479664699</v>
      </c>
      <c r="AT247" s="262">
        <v>8.1706480877081298E-3</v>
      </c>
      <c r="AU247" s="308">
        <f t="shared" si="11"/>
        <v>0.14767104068185818</v>
      </c>
      <c r="AX247" s="262">
        <v>0.2</v>
      </c>
      <c r="AY247" s="299">
        <v>55</v>
      </c>
      <c r="AZ247" s="300">
        <f t="shared" si="24"/>
        <v>854758.64530494798</v>
      </c>
      <c r="BA247" s="302">
        <f t="shared" si="25"/>
        <v>70442.964784260519</v>
      </c>
      <c r="BB247" s="301">
        <f t="shared" si="26"/>
        <v>280226.71608624968</v>
      </c>
      <c r="BC247" s="300">
        <f t="shared" si="27"/>
        <v>7044</v>
      </c>
      <c r="BD247" s="301">
        <f t="shared" si="27"/>
        <v>28023</v>
      </c>
      <c r="BE247" s="273">
        <f t="shared" ref="BE247:BE255" si="30">BC247/$AZ$243</f>
        <v>1.7705147484686375E-2</v>
      </c>
      <c r="BF247" s="273">
        <f t="shared" si="28"/>
        <v>7.0436023277025306E-2</v>
      </c>
      <c r="BH247" s="316">
        <f t="shared" si="29"/>
        <v>1.7999999999999999E-2</v>
      </c>
      <c r="BI247" s="316">
        <f t="shared" si="29"/>
        <v>7.0000000000000007E-2</v>
      </c>
    </row>
    <row r="248" spans="40:61" x14ac:dyDescent="0.25">
      <c r="AN248" s="262">
        <f t="shared" si="9"/>
        <v>37</v>
      </c>
      <c r="AO248" s="277">
        <v>419708</v>
      </c>
      <c r="AP248" s="262">
        <v>1.2206477588645801E-2</v>
      </c>
      <c r="AQ248" s="308">
        <f t="shared" si="10"/>
        <v>0.56733204335181464</v>
      </c>
      <c r="AS248" s="277">
        <v>243241.91866117399</v>
      </c>
      <c r="AT248" s="262">
        <v>8.3149052302543096E-3</v>
      </c>
      <c r="AU248" s="308">
        <f t="shared" si="11"/>
        <v>0.15598594591211248</v>
      </c>
      <c r="AX248" s="262">
        <v>0.2</v>
      </c>
      <c r="AY248" s="299">
        <v>60</v>
      </c>
      <c r="AZ248" s="300">
        <f t="shared" si="24"/>
        <v>916180.183921827</v>
      </c>
      <c r="BA248" s="302">
        <f t="shared" si="25"/>
        <v>119580.19567776374</v>
      </c>
      <c r="BB248" s="301">
        <f t="shared" si="26"/>
        <v>304223.1983503396</v>
      </c>
      <c r="BC248" s="300">
        <f t="shared" si="27"/>
        <v>11958</v>
      </c>
      <c r="BD248" s="301">
        <f t="shared" si="27"/>
        <v>30422</v>
      </c>
      <c r="BE248" s="273">
        <f t="shared" si="30"/>
        <v>3.0056523796405405E-2</v>
      </c>
      <c r="BF248" s="273">
        <f t="shared" si="28"/>
        <v>7.6465927992494173E-2</v>
      </c>
      <c r="BH248" s="316">
        <f t="shared" si="29"/>
        <v>0.03</v>
      </c>
      <c r="BI248" s="316">
        <f t="shared" si="29"/>
        <v>7.5999999999999998E-2</v>
      </c>
    </row>
    <row r="249" spans="40:61" x14ac:dyDescent="0.25">
      <c r="AN249" s="262">
        <f t="shared" si="9"/>
        <v>38</v>
      </c>
      <c r="AO249" s="277">
        <v>425883</v>
      </c>
      <c r="AP249" s="262">
        <v>1.1899568661101799E-2</v>
      </c>
      <c r="AQ249" s="308">
        <f t="shared" si="10"/>
        <v>0.5792316120129164</v>
      </c>
      <c r="AS249" s="277">
        <v>248885.87719216201</v>
      </c>
      <c r="AT249" s="262">
        <v>8.5241368401366806E-3</v>
      </c>
      <c r="AU249" s="308">
        <f t="shared" si="11"/>
        <v>0.16451008275224915</v>
      </c>
      <c r="AX249" s="262">
        <v>0.2</v>
      </c>
      <c r="AY249" s="299">
        <v>65</v>
      </c>
      <c r="AZ249" s="300">
        <f t="shared" si="24"/>
        <v>963438.59338807198</v>
      </c>
      <c r="BA249" s="302">
        <f t="shared" si="25"/>
        <v>157386.92325075972</v>
      </c>
      <c r="BB249" s="301">
        <f t="shared" si="26"/>
        <v>329047.41931023204</v>
      </c>
      <c r="BC249" s="300">
        <f t="shared" si="27"/>
        <v>15739</v>
      </c>
      <c r="BD249" s="301">
        <f t="shared" si="27"/>
        <v>32905</v>
      </c>
      <c r="BE249" s="273">
        <f t="shared" si="30"/>
        <v>3.9560096005320677E-2</v>
      </c>
      <c r="BF249" s="273">
        <f t="shared" si="28"/>
        <v>8.2706967345770183E-2</v>
      </c>
      <c r="BH249" s="316">
        <f t="shared" si="29"/>
        <v>0.04</v>
      </c>
      <c r="BI249" s="316">
        <f t="shared" si="29"/>
        <v>8.3000000000000004E-2</v>
      </c>
    </row>
    <row r="250" spans="40:61" x14ac:dyDescent="0.25">
      <c r="AN250" s="262">
        <f t="shared" si="9"/>
        <v>39</v>
      </c>
      <c r="AO250" s="277">
        <v>444803</v>
      </c>
      <c r="AP250" s="262">
        <v>1.15279160095239E-2</v>
      </c>
      <c r="AQ250" s="308">
        <f t="shared" si="10"/>
        <v>0.59075952802244025</v>
      </c>
      <c r="AS250" s="277">
        <v>251876.355936965</v>
      </c>
      <c r="AT250" s="262">
        <v>8.8527763269902002E-3</v>
      </c>
      <c r="AU250" s="308">
        <f t="shared" si="11"/>
        <v>0.17336285907923935</v>
      </c>
      <c r="AX250" s="262">
        <v>0.2</v>
      </c>
      <c r="AY250" s="299">
        <v>70</v>
      </c>
      <c r="AZ250" s="300">
        <f t="shared" si="24"/>
        <v>1022816.889367586</v>
      </c>
      <c r="BA250" s="302">
        <f t="shared" si="25"/>
        <v>204889.56003437095</v>
      </c>
      <c r="BB250" s="301">
        <f t="shared" si="26"/>
        <v>351217.62996155588</v>
      </c>
      <c r="BC250" s="300">
        <f t="shared" si="27"/>
        <v>20489</v>
      </c>
      <c r="BD250" s="301">
        <f t="shared" si="27"/>
        <v>35122</v>
      </c>
      <c r="BE250" s="273">
        <f t="shared" si="30"/>
        <v>5.1499257071797151E-2</v>
      </c>
      <c r="BF250" s="273">
        <f t="shared" si="28"/>
        <v>8.8279413679323515E-2</v>
      </c>
      <c r="BH250" s="316">
        <f t="shared" si="29"/>
        <v>5.0999999999999997E-2</v>
      </c>
      <c r="BI250" s="316">
        <f t="shared" si="29"/>
        <v>8.7999999999999995E-2</v>
      </c>
    </row>
    <row r="251" spans="40:61" x14ac:dyDescent="0.25">
      <c r="AN251" s="262">
        <f t="shared" si="9"/>
        <v>40</v>
      </c>
      <c r="AO251" s="277">
        <v>449922</v>
      </c>
      <c r="AP251" s="262">
        <v>1.14862104882757E-2</v>
      </c>
      <c r="AQ251" s="308">
        <f t="shared" si="10"/>
        <v>0.60224573851071594</v>
      </c>
      <c r="AS251" s="277">
        <v>258065.70500875599</v>
      </c>
      <c r="AT251" s="262">
        <v>8.8674750940395293E-3</v>
      </c>
      <c r="AU251" s="308">
        <f t="shared" si="11"/>
        <v>0.18223033417327889</v>
      </c>
      <c r="AX251" s="262">
        <v>0.2</v>
      </c>
      <c r="AY251" s="299">
        <v>75</v>
      </c>
      <c r="AZ251" s="300">
        <f t="shared" si="24"/>
        <v>1073206.3882597911</v>
      </c>
      <c r="BA251" s="302">
        <f t="shared" si="25"/>
        <v>245201.15914813496</v>
      </c>
      <c r="BB251" s="301">
        <f t="shared" si="26"/>
        <v>376143.78574920888</v>
      </c>
      <c r="BC251" s="300">
        <f t="shared" si="27"/>
        <v>24520</v>
      </c>
      <c r="BD251" s="301">
        <f t="shared" si="27"/>
        <v>37614</v>
      </c>
      <c r="BE251" s="273">
        <f t="shared" si="30"/>
        <v>6.1631206178948031E-2</v>
      </c>
      <c r="BF251" s="273">
        <f t="shared" si="28"/>
        <v>9.4543074600936014E-2</v>
      </c>
      <c r="BH251" s="316">
        <f t="shared" si="29"/>
        <v>6.2E-2</v>
      </c>
      <c r="BI251" s="316">
        <f t="shared" si="29"/>
        <v>9.5000000000000001E-2</v>
      </c>
    </row>
    <row r="252" spans="40:61" x14ac:dyDescent="0.25">
      <c r="AN252" s="262">
        <f t="shared" si="9"/>
        <v>41</v>
      </c>
      <c r="AO252" s="277">
        <v>458754</v>
      </c>
      <c r="AP252" s="262">
        <v>1.1371292654617801E-2</v>
      </c>
      <c r="AQ252" s="308">
        <f t="shared" si="10"/>
        <v>0.61361703116533373</v>
      </c>
      <c r="AS252" s="277">
        <v>259014.18440995601</v>
      </c>
      <c r="AT252" s="262">
        <v>8.9209106142019295E-3</v>
      </c>
      <c r="AU252" s="308">
        <f t="shared" si="11"/>
        <v>0.1911512447874808</v>
      </c>
      <c r="AX252" s="262">
        <v>0.2</v>
      </c>
      <c r="AY252" s="299">
        <v>80</v>
      </c>
      <c r="AZ252" s="300">
        <f t="shared" si="24"/>
        <v>1127342.0282802009</v>
      </c>
      <c r="BA252" s="302">
        <f t="shared" si="25"/>
        <v>288509.67116446298</v>
      </c>
      <c r="BB252" s="301">
        <f t="shared" si="26"/>
        <v>404607.56837249879</v>
      </c>
      <c r="BC252" s="300">
        <f t="shared" si="27"/>
        <v>28851</v>
      </c>
      <c r="BD252" s="301">
        <f t="shared" si="27"/>
        <v>40461</v>
      </c>
      <c r="BE252" s="273">
        <f t="shared" si="30"/>
        <v>7.2517207563981625E-2</v>
      </c>
      <c r="BF252" s="273">
        <f t="shared" si="28"/>
        <v>0.10169903071804308</v>
      </c>
      <c r="BH252" s="316">
        <f t="shared" si="29"/>
        <v>7.2999999999999995E-2</v>
      </c>
      <c r="BI252" s="316">
        <f t="shared" si="29"/>
        <v>0.10199999999999999</v>
      </c>
    </row>
    <row r="253" spans="40:61" x14ac:dyDescent="0.25">
      <c r="AN253" s="262">
        <f t="shared" si="9"/>
        <v>42</v>
      </c>
      <c r="AO253" s="277">
        <v>472666</v>
      </c>
      <c r="AP253" s="262">
        <v>1.1362733006152001E-2</v>
      </c>
      <c r="AQ253" s="308">
        <f t="shared" si="10"/>
        <v>0.62497976417148571</v>
      </c>
      <c r="AS253" s="277">
        <v>261281.84206683899</v>
      </c>
      <c r="AT253" s="262">
        <v>8.9549342336046195E-3</v>
      </c>
      <c r="AU253" s="308">
        <f t="shared" si="11"/>
        <v>0.20010617902108541</v>
      </c>
      <c r="AX253" s="262">
        <v>0.2</v>
      </c>
      <c r="AY253" s="299">
        <v>85</v>
      </c>
      <c r="AZ253" s="300">
        <f t="shared" si="24"/>
        <v>1185067.941535525</v>
      </c>
      <c r="BA253" s="302">
        <f t="shared" si="25"/>
        <v>334690.40176872216</v>
      </c>
      <c r="BB253" s="301">
        <f t="shared" si="26"/>
        <v>439196.0358220652</v>
      </c>
      <c r="BC253" s="300">
        <f t="shared" si="27"/>
        <v>33469</v>
      </c>
      <c r="BD253" s="301">
        <f t="shared" si="27"/>
        <v>43920</v>
      </c>
      <c r="BE253" s="273">
        <f t="shared" si="30"/>
        <v>8.412458562818971E-2</v>
      </c>
      <c r="BF253" s="273">
        <f t="shared" si="28"/>
        <v>0.1103932534820309</v>
      </c>
      <c r="BH253" s="316">
        <f t="shared" si="29"/>
        <v>8.4000000000000005E-2</v>
      </c>
      <c r="BI253" s="316">
        <f t="shared" si="29"/>
        <v>0.11</v>
      </c>
    </row>
    <row r="254" spans="40:61" x14ac:dyDescent="0.25">
      <c r="AN254" s="262">
        <f t="shared" si="9"/>
        <v>43</v>
      </c>
      <c r="AO254" s="277">
        <v>473380</v>
      </c>
      <c r="AP254" s="262">
        <v>1.10768225353762E-2</v>
      </c>
      <c r="AQ254" s="308">
        <f t="shared" si="10"/>
        <v>0.63605658670686194</v>
      </c>
      <c r="AS254" s="277">
        <v>266558.555089564</v>
      </c>
      <c r="AT254" s="262">
        <v>8.9846190020932692E-3</v>
      </c>
      <c r="AU254" s="308">
        <f t="shared" si="11"/>
        <v>0.20909079802317868</v>
      </c>
      <c r="AX254" s="262">
        <v>0.2</v>
      </c>
      <c r="AY254" s="299">
        <v>90</v>
      </c>
      <c r="AZ254" s="300">
        <f t="shared" si="24"/>
        <v>1261419.85021989</v>
      </c>
      <c r="BA254" s="302">
        <f t="shared" si="25"/>
        <v>395771.92871621414</v>
      </c>
      <c r="BB254" s="301">
        <f t="shared" si="26"/>
        <v>465910.28004379256</v>
      </c>
      <c r="BC254" s="300">
        <f t="shared" si="27"/>
        <v>39577</v>
      </c>
      <c r="BD254" s="301">
        <f t="shared" si="27"/>
        <v>46591</v>
      </c>
      <c r="BE254" s="273">
        <f t="shared" si="30"/>
        <v>9.947709000588198E-2</v>
      </c>
      <c r="BF254" s="273">
        <f t="shared" si="28"/>
        <v>0.11710683226278008</v>
      </c>
      <c r="BH254" s="316">
        <f t="shared" si="29"/>
        <v>9.9000000000000005E-2</v>
      </c>
      <c r="BI254" s="316">
        <f t="shared" si="29"/>
        <v>0.11700000000000001</v>
      </c>
    </row>
    <row r="255" spans="40:61" ht="15.75" thickBot="1" x14ac:dyDescent="0.3">
      <c r="AN255" s="262">
        <f t="shared" si="9"/>
        <v>44</v>
      </c>
      <c r="AO255" s="277">
        <v>486351</v>
      </c>
      <c r="AP255" s="262">
        <v>1.10220589972131E-2</v>
      </c>
      <c r="AQ255" s="308">
        <f t="shared" si="10"/>
        <v>0.64707864570407503</v>
      </c>
      <c r="AS255" s="277">
        <v>271929.69926924602</v>
      </c>
      <c r="AT255" s="262">
        <v>9.0560333381851099E-3</v>
      </c>
      <c r="AU255" s="308">
        <f t="shared" si="11"/>
        <v>0.21814683136136379</v>
      </c>
      <c r="AX255" s="262">
        <v>0.2</v>
      </c>
      <c r="AY255" s="303">
        <v>95</v>
      </c>
      <c r="AZ255" s="304">
        <f t="shared" si="24"/>
        <v>1343343.9689828209</v>
      </c>
      <c r="BA255" s="306">
        <f t="shared" si="25"/>
        <v>461311.22372655891</v>
      </c>
      <c r="BB255" s="305">
        <f t="shared" si="26"/>
        <v>513232.95947536774</v>
      </c>
      <c r="BC255" s="304">
        <f t="shared" si="27"/>
        <v>46131</v>
      </c>
      <c r="BD255" s="305">
        <f t="shared" si="27"/>
        <v>51323</v>
      </c>
      <c r="BE255" s="273">
        <f t="shared" si="30"/>
        <v>0.11595061877002658</v>
      </c>
      <c r="BF255" s="273">
        <f t="shared" si="28"/>
        <v>0.12900075019258359</v>
      </c>
      <c r="BH255" s="316">
        <f t="shared" si="29"/>
        <v>0.11600000000000001</v>
      </c>
      <c r="BI255" s="316">
        <f t="shared" si="29"/>
        <v>0.129</v>
      </c>
    </row>
    <row r="256" spans="40:61" x14ac:dyDescent="0.25">
      <c r="AN256" s="262">
        <f t="shared" si="9"/>
        <v>45</v>
      </c>
      <c r="AO256" s="277">
        <v>489838</v>
      </c>
      <c r="AP256" s="262">
        <v>1.09710471347606E-2</v>
      </c>
      <c r="AQ256" s="308">
        <f t="shared" si="10"/>
        <v>0.65804969283883563</v>
      </c>
      <c r="AS256" s="277">
        <v>273485.49128138501</v>
      </c>
      <c r="AT256" s="262">
        <v>9.0853488711031306E-3</v>
      </c>
      <c r="AU256" s="308">
        <f t="shared" si="11"/>
        <v>0.22723218023246691</v>
      </c>
    </row>
    <row r="257" spans="40:47" x14ac:dyDescent="0.25">
      <c r="AN257" s="262">
        <f t="shared" si="9"/>
        <v>46</v>
      </c>
      <c r="AO257" s="277">
        <v>500632</v>
      </c>
      <c r="AP257" s="262">
        <v>1.08254420507519E-2</v>
      </c>
      <c r="AQ257" s="308">
        <f t="shared" si="10"/>
        <v>0.6688751348895875</v>
      </c>
      <c r="AS257" s="277">
        <v>298972.37718709902</v>
      </c>
      <c r="AT257" s="262">
        <v>9.2826696982238593E-3</v>
      </c>
      <c r="AU257" s="308">
        <f t="shared" si="11"/>
        <v>0.23651484993069077</v>
      </c>
    </row>
    <row r="258" spans="40:47" x14ac:dyDescent="0.25">
      <c r="AN258" s="262">
        <f t="shared" si="9"/>
        <v>47</v>
      </c>
      <c r="AO258" s="277">
        <v>506563</v>
      </c>
      <c r="AP258" s="262">
        <v>1.06874678022904E-2</v>
      </c>
      <c r="AQ258" s="308">
        <f t="shared" si="10"/>
        <v>0.67956260269187785</v>
      </c>
      <c r="AS258" s="277">
        <v>300673.09065953398</v>
      </c>
      <c r="AT258" s="262">
        <v>9.4908263878253595E-3</v>
      </c>
      <c r="AU258" s="308">
        <f t="shared" si="11"/>
        <v>0.24600567631851614</v>
      </c>
    </row>
    <row r="259" spans="40:47" x14ac:dyDescent="0.25">
      <c r="AN259" s="262">
        <f t="shared" si="9"/>
        <v>48</v>
      </c>
      <c r="AO259" s="277">
        <v>515411</v>
      </c>
      <c r="AP259" s="262">
        <v>1.0614510458132999E-2</v>
      </c>
      <c r="AQ259" s="308">
        <f t="shared" si="10"/>
        <v>0.69017711315001085</v>
      </c>
      <c r="AS259" s="277">
        <v>303637.25252452999</v>
      </c>
      <c r="AT259" s="262">
        <v>1.0034872674399301E-2</v>
      </c>
      <c r="AU259" s="308">
        <f t="shared" si="11"/>
        <v>0.25604054899291545</v>
      </c>
    </row>
    <row r="260" spans="40:47" x14ac:dyDescent="0.25">
      <c r="AN260" s="262">
        <f t="shared" si="9"/>
        <v>49</v>
      </c>
      <c r="AO260" s="277">
        <v>529162</v>
      </c>
      <c r="AP260" s="262">
        <v>1.0463277860558499E-2</v>
      </c>
      <c r="AQ260" s="308">
        <f t="shared" si="10"/>
        <v>0.7006403910105693</v>
      </c>
      <c r="AS260" s="277">
        <v>304456.05282116</v>
      </c>
      <c r="AT260" s="262">
        <v>1.01161506713519E-2</v>
      </c>
      <c r="AU260" s="308">
        <f t="shared" si="11"/>
        <v>0.26615669966426736</v>
      </c>
    </row>
    <row r="261" spans="40:47" x14ac:dyDescent="0.25">
      <c r="AN261" s="262">
        <f t="shared" si="9"/>
        <v>50</v>
      </c>
      <c r="AO261" s="277">
        <v>536974</v>
      </c>
      <c r="AP261" s="262">
        <v>1.04033603212979E-2</v>
      </c>
      <c r="AQ261" s="308">
        <f t="shared" si="10"/>
        <v>0.71104375133186715</v>
      </c>
      <c r="AS261" s="277">
        <v>306695.13106105698</v>
      </c>
      <c r="AT261" s="262">
        <v>1.05868266852565E-2</v>
      </c>
      <c r="AU261" s="308">
        <f t="shared" si="11"/>
        <v>0.27674352634952387</v>
      </c>
    </row>
    <row r="262" spans="40:47" x14ac:dyDescent="0.25">
      <c r="AN262" s="262">
        <f t="shared" si="9"/>
        <v>51</v>
      </c>
      <c r="AO262" s="277">
        <v>541341</v>
      </c>
      <c r="AP262" s="262">
        <v>1.03554080778714E-2</v>
      </c>
      <c r="AQ262" s="308">
        <f t="shared" si="10"/>
        <v>0.72139915940973853</v>
      </c>
      <c r="AS262" s="277">
        <v>309704.66275051702</v>
      </c>
      <c r="AT262" s="262">
        <v>1.07818347095581E-2</v>
      </c>
      <c r="AU262" s="308">
        <f t="shared" si="11"/>
        <v>0.287525361059082</v>
      </c>
    </row>
    <row r="263" spans="40:47" x14ac:dyDescent="0.25">
      <c r="AN263" s="262">
        <f t="shared" si="9"/>
        <v>52</v>
      </c>
      <c r="AO263" s="277">
        <v>545430</v>
      </c>
      <c r="AP263" s="262">
        <v>1.03485057230447E-2</v>
      </c>
      <c r="AQ263" s="308">
        <f t="shared" si="10"/>
        <v>0.73174766513278322</v>
      </c>
      <c r="AS263" s="277">
        <v>310273.15498671698</v>
      </c>
      <c r="AT263" s="262">
        <v>1.0922197265489399E-2</v>
      </c>
      <c r="AU263" s="308">
        <f t="shared" si="11"/>
        <v>0.29844755832457137</v>
      </c>
    </row>
    <row r="264" spans="40:47" x14ac:dyDescent="0.25">
      <c r="AN264" s="262">
        <f t="shared" si="9"/>
        <v>53</v>
      </c>
      <c r="AO264" s="277">
        <v>550634</v>
      </c>
      <c r="AP264" s="262">
        <v>1.0266223825664901E-2</v>
      </c>
      <c r="AQ264" s="308">
        <f t="shared" si="10"/>
        <v>0.74201388895844811</v>
      </c>
      <c r="AS264" s="277">
        <v>311876.579360498</v>
      </c>
      <c r="AT264" s="262">
        <v>1.09339272573808E-2</v>
      </c>
      <c r="AU264" s="308">
        <f t="shared" si="11"/>
        <v>0.30938148558195216</v>
      </c>
    </row>
    <row r="265" spans="40:47" x14ac:dyDescent="0.25">
      <c r="AN265" s="262">
        <f t="shared" si="9"/>
        <v>54</v>
      </c>
      <c r="AO265" s="277">
        <v>557238</v>
      </c>
      <c r="AP265" s="262">
        <v>1.00106910009338E-2</v>
      </c>
      <c r="AQ265" s="308">
        <f t="shared" si="10"/>
        <v>0.75202457995938188</v>
      </c>
      <c r="AS265" s="277">
        <v>314498.62178799801</v>
      </c>
      <c r="AT265" s="262">
        <v>1.1008779106315199E-2</v>
      </c>
      <c r="AU265" s="308">
        <f t="shared" si="11"/>
        <v>0.32039026468826737</v>
      </c>
    </row>
    <row r="266" spans="40:47" x14ac:dyDescent="0.25">
      <c r="AN266" s="262">
        <f t="shared" si="9"/>
        <v>55</v>
      </c>
      <c r="AO266" s="277">
        <v>578046</v>
      </c>
      <c r="AP266" s="262">
        <v>9.9557089185545195E-3</v>
      </c>
      <c r="AQ266" s="308">
        <f t="shared" si="10"/>
        <v>0.76198028887793645</v>
      </c>
      <c r="AS266" s="277">
        <v>315130.703226991</v>
      </c>
      <c r="AT266" s="262">
        <v>1.10099890343091E-2</v>
      </c>
      <c r="AU266" s="308">
        <f t="shared" si="11"/>
        <v>0.33140025372257648</v>
      </c>
    </row>
    <row r="267" spans="40:47" x14ac:dyDescent="0.25">
      <c r="AN267" s="262">
        <f t="shared" si="9"/>
        <v>56</v>
      </c>
      <c r="AO267" s="277">
        <v>587892</v>
      </c>
      <c r="AP267" s="262">
        <v>9.7762294810429008E-3</v>
      </c>
      <c r="AQ267" s="308">
        <f t="shared" si="10"/>
        <v>0.7717565183589794</v>
      </c>
      <c r="AS267" s="277">
        <v>316974.55194616102</v>
      </c>
      <c r="AT267" s="262">
        <v>1.13248051408157E-2</v>
      </c>
      <c r="AU267" s="308">
        <f t="shared" si="11"/>
        <v>0.34272505886339216</v>
      </c>
    </row>
    <row r="268" spans="40:47" x14ac:dyDescent="0.25">
      <c r="AN268" s="262">
        <f t="shared" si="9"/>
        <v>57</v>
      </c>
      <c r="AO268" s="277">
        <v>588971</v>
      </c>
      <c r="AP268" s="262">
        <v>9.5268158943638808E-3</v>
      </c>
      <c r="AQ268" s="308">
        <f t="shared" si="10"/>
        <v>0.78128333425334329</v>
      </c>
      <c r="AS268" s="277">
        <v>329288.58915881399</v>
      </c>
      <c r="AT268" s="262">
        <v>1.1409317228799801E-2</v>
      </c>
      <c r="AU268" s="308">
        <f t="shared" si="11"/>
        <v>0.35413437609219195</v>
      </c>
    </row>
    <row r="269" spans="40:47" x14ac:dyDescent="0.25">
      <c r="AN269" s="262">
        <f t="shared" si="9"/>
        <v>58</v>
      </c>
      <c r="AO269" s="277">
        <v>593339</v>
      </c>
      <c r="AP269" s="262">
        <v>9.1091232612508302E-3</v>
      </c>
      <c r="AQ269" s="308">
        <f t="shared" si="10"/>
        <v>0.79039245751459408</v>
      </c>
      <c r="AS269" s="277">
        <v>338454.60359053098</v>
      </c>
      <c r="AT269" s="262">
        <v>1.1411103277072799E-2</v>
      </c>
      <c r="AU269" s="308">
        <f t="shared" si="11"/>
        <v>0.36554547936926474</v>
      </c>
    </row>
    <row r="270" spans="40:47" x14ac:dyDescent="0.25">
      <c r="AN270" s="262">
        <f t="shared" si="9"/>
        <v>59</v>
      </c>
      <c r="AO270" s="277">
        <v>593443</v>
      </c>
      <c r="AP270" s="262">
        <v>8.7676297115014193E-3</v>
      </c>
      <c r="AQ270" s="308">
        <f t="shared" si="10"/>
        <v>0.79916008722609555</v>
      </c>
      <c r="AS270" s="277">
        <v>340196.04273217102</v>
      </c>
      <c r="AT270" s="262">
        <v>1.14703232730454E-2</v>
      </c>
      <c r="AU270" s="308">
        <f t="shared" si="11"/>
        <v>0.37701580264231016</v>
      </c>
    </row>
    <row r="271" spans="40:47" x14ac:dyDescent="0.25">
      <c r="AN271" s="262">
        <f t="shared" si="9"/>
        <v>60</v>
      </c>
      <c r="AO271" s="277">
        <v>595966</v>
      </c>
      <c r="AP271" s="262">
        <v>8.6067993804344305E-3</v>
      </c>
      <c r="AQ271" s="308">
        <f t="shared" si="10"/>
        <v>0.80776688660652995</v>
      </c>
      <c r="AS271" s="277">
        <v>356260.17577691597</v>
      </c>
      <c r="AT271" s="262">
        <v>1.14844565121327E-2</v>
      </c>
      <c r="AU271" s="308">
        <f t="shared" si="11"/>
        <v>0.38850025915444286</v>
      </c>
    </row>
    <row r="272" spans="40:47" x14ac:dyDescent="0.25">
      <c r="AN272" s="262">
        <f t="shared" si="9"/>
        <v>61</v>
      </c>
      <c r="AO272" s="277">
        <v>604731</v>
      </c>
      <c r="AP272" s="262">
        <v>8.5489762232452398E-3</v>
      </c>
      <c r="AQ272" s="308">
        <f t="shared" si="10"/>
        <v>0.8163158628297752</v>
      </c>
      <c r="AS272" s="277">
        <v>386311.55181789998</v>
      </c>
      <c r="AT272" s="262">
        <v>1.19299188471415E-2</v>
      </c>
      <c r="AU272" s="308">
        <f t="shared" si="11"/>
        <v>0.40043017800158437</v>
      </c>
    </row>
    <row r="273" spans="40:47" x14ac:dyDescent="0.25">
      <c r="AN273" s="262">
        <f t="shared" si="9"/>
        <v>62</v>
      </c>
      <c r="AO273" s="277">
        <v>620166</v>
      </c>
      <c r="AP273" s="262">
        <v>8.4989660217833496E-3</v>
      </c>
      <c r="AQ273" s="308">
        <f t="shared" si="10"/>
        <v>0.82481482885155855</v>
      </c>
      <c r="AS273" s="277">
        <v>386973.64164472697</v>
      </c>
      <c r="AT273" s="262">
        <v>1.2020613541906601E-2</v>
      </c>
      <c r="AU273" s="308">
        <f t="shared" si="11"/>
        <v>0.41245079154349096</v>
      </c>
    </row>
    <row r="274" spans="40:47" x14ac:dyDescent="0.25">
      <c r="AN274" s="262">
        <f t="shared" si="9"/>
        <v>63</v>
      </c>
      <c r="AO274" s="277">
        <v>622074</v>
      </c>
      <c r="AP274" s="262">
        <v>8.4955057383610099E-3</v>
      </c>
      <c r="AQ274" s="308">
        <f t="shared" si="10"/>
        <v>0.83331033458991954</v>
      </c>
      <c r="AS274" s="277">
        <v>395918.52283751999</v>
      </c>
      <c r="AT274" s="262">
        <v>1.21519364336415E-2</v>
      </c>
      <c r="AU274" s="308">
        <f t="shared" si="11"/>
        <v>0.42460272797713244</v>
      </c>
    </row>
    <row r="275" spans="40:47" x14ac:dyDescent="0.25">
      <c r="AN275" s="262">
        <f t="shared" si="9"/>
        <v>64</v>
      </c>
      <c r="AO275" s="277">
        <v>624556</v>
      </c>
      <c r="AP275" s="262">
        <v>8.4073413591632708E-3</v>
      </c>
      <c r="AQ275" s="308">
        <f t="shared" si="10"/>
        <v>0.84171767594908287</v>
      </c>
      <c r="AS275" s="277">
        <v>398758.84056224598</v>
      </c>
      <c r="AT275" s="262">
        <v>1.2290194027895E-2</v>
      </c>
      <c r="AU275" s="308">
        <f t="shared" si="11"/>
        <v>0.43689292200502744</v>
      </c>
    </row>
    <row r="276" spans="40:47" x14ac:dyDescent="0.25">
      <c r="AN276" s="262">
        <f t="shared" si="9"/>
        <v>65</v>
      </c>
      <c r="AO276" s="277">
        <v>627321</v>
      </c>
      <c r="AP276" s="262">
        <v>8.0526805203909296E-3</v>
      </c>
      <c r="AQ276" s="308">
        <f t="shared" si="10"/>
        <v>0.84977035646947374</v>
      </c>
      <c r="AS276" s="277">
        <v>399791.74832445802</v>
      </c>
      <c r="AT276" s="262">
        <v>1.23009970380628E-2</v>
      </c>
      <c r="AU276" s="308">
        <f t="shared" si="11"/>
        <v>0.44919391904309025</v>
      </c>
    </row>
    <row r="277" spans="40:47" x14ac:dyDescent="0.25">
      <c r="AN277" s="262">
        <f t="shared" ref="AN277:AN311" si="31">AN276+1</f>
        <v>66</v>
      </c>
      <c r="AO277" s="277">
        <v>628022</v>
      </c>
      <c r="AP277" s="262">
        <v>8.0071504753600805E-3</v>
      </c>
      <c r="AQ277" s="308">
        <f t="shared" ref="AQ277:AQ311" si="32">AQ276+AP277</f>
        <v>0.85777750694483379</v>
      </c>
      <c r="AS277" s="277">
        <v>407176.074268948</v>
      </c>
      <c r="AT277" s="262">
        <v>1.2384054117160301E-2</v>
      </c>
      <c r="AU277" s="308">
        <f t="shared" ref="AU277:AU311" si="33">AU276+AT277</f>
        <v>0.46157797316025057</v>
      </c>
    </row>
    <row r="278" spans="40:47" x14ac:dyDescent="0.25">
      <c r="AN278" s="262">
        <f t="shared" si="31"/>
        <v>67</v>
      </c>
      <c r="AO278" s="277">
        <v>628487</v>
      </c>
      <c r="AP278" s="262">
        <v>7.9670476116968994E-3</v>
      </c>
      <c r="AQ278" s="308">
        <f t="shared" si="32"/>
        <v>0.86574455455653065</v>
      </c>
      <c r="AS278" s="277">
        <v>413074.03236839199</v>
      </c>
      <c r="AT278" s="262">
        <v>1.25604657384861E-2</v>
      </c>
      <c r="AU278" s="308">
        <f t="shared" si="33"/>
        <v>0.47413843889873669</v>
      </c>
    </row>
    <row r="279" spans="40:47" x14ac:dyDescent="0.25">
      <c r="AN279" s="262">
        <f t="shared" si="31"/>
        <v>68</v>
      </c>
      <c r="AO279" s="277">
        <v>673860</v>
      </c>
      <c r="AP279" s="262">
        <v>7.8999363253214206E-3</v>
      </c>
      <c r="AQ279" s="308">
        <f t="shared" si="32"/>
        <v>0.87364449088185203</v>
      </c>
      <c r="AS279" s="277">
        <v>424921.39151785499</v>
      </c>
      <c r="AT279" s="262">
        <v>1.2914410037937699E-2</v>
      </c>
      <c r="AU279" s="308">
        <f t="shared" si="33"/>
        <v>0.48705284893667439</v>
      </c>
    </row>
    <row r="280" spans="40:47" x14ac:dyDescent="0.25">
      <c r="AN280" s="262">
        <f t="shared" si="31"/>
        <v>69</v>
      </c>
      <c r="AO280" s="277">
        <v>674020</v>
      </c>
      <c r="AP280" s="262">
        <v>7.7588478217798101E-3</v>
      </c>
      <c r="AQ280" s="308">
        <f t="shared" si="32"/>
        <v>0.88140333870363186</v>
      </c>
      <c r="AS280" s="277">
        <v>425647.904113803</v>
      </c>
      <c r="AT280" s="262">
        <v>1.3535195555736901E-2</v>
      </c>
      <c r="AU280" s="308">
        <f t="shared" si="33"/>
        <v>0.50058804449241134</v>
      </c>
    </row>
    <row r="281" spans="40:47" x14ac:dyDescent="0.25">
      <c r="AN281" s="262">
        <f t="shared" si="31"/>
        <v>70</v>
      </c>
      <c r="AO281" s="277">
        <v>677612</v>
      </c>
      <c r="AP281" s="262">
        <v>7.5152438688467302E-3</v>
      </c>
      <c r="AQ281" s="308">
        <f t="shared" si="32"/>
        <v>0.88891858257247858</v>
      </c>
      <c r="AS281" s="277">
        <v>428776.993030985</v>
      </c>
      <c r="AT281" s="262">
        <v>1.35371313880577E-2</v>
      </c>
      <c r="AU281" s="308">
        <f t="shared" si="33"/>
        <v>0.51412517588046902</v>
      </c>
    </row>
    <row r="282" spans="40:47" x14ac:dyDescent="0.25">
      <c r="AN282" s="262">
        <f t="shared" si="31"/>
        <v>71</v>
      </c>
      <c r="AO282" s="277">
        <v>681059</v>
      </c>
      <c r="AP282" s="262">
        <v>7.1699257953147296E-3</v>
      </c>
      <c r="AQ282" s="308">
        <f t="shared" si="32"/>
        <v>0.8960885083677933</v>
      </c>
      <c r="AS282" s="277">
        <v>431095.85547663202</v>
      </c>
      <c r="AT282" s="262">
        <v>1.3737181862529301E-2</v>
      </c>
      <c r="AU282" s="308">
        <f t="shared" si="33"/>
        <v>0.52786235774299828</v>
      </c>
    </row>
    <row r="283" spans="40:47" x14ac:dyDescent="0.25">
      <c r="AN283" s="262">
        <f t="shared" si="31"/>
        <v>72</v>
      </c>
      <c r="AO283" s="277">
        <v>688431</v>
      </c>
      <c r="AP283" s="262">
        <v>6.9375950815312899E-3</v>
      </c>
      <c r="AQ283" s="308">
        <f t="shared" si="32"/>
        <v>0.90302610344932455</v>
      </c>
      <c r="AS283" s="277">
        <v>435153.18004131701</v>
      </c>
      <c r="AT283" s="262">
        <v>1.38785629097975E-2</v>
      </c>
      <c r="AU283" s="308">
        <f t="shared" si="33"/>
        <v>0.54174092065279578</v>
      </c>
    </row>
    <row r="284" spans="40:47" x14ac:dyDescent="0.25">
      <c r="AN284" s="262">
        <f t="shared" si="31"/>
        <v>73</v>
      </c>
      <c r="AO284" s="277">
        <v>696810</v>
      </c>
      <c r="AP284" s="262">
        <v>6.8916097360501201E-3</v>
      </c>
      <c r="AQ284" s="308">
        <f t="shared" si="32"/>
        <v>0.90991771318537462</v>
      </c>
      <c r="AS284" s="277">
        <v>445250.64530494798</v>
      </c>
      <c r="AT284" s="262">
        <v>1.3943658035218701E-2</v>
      </c>
      <c r="AU284" s="308">
        <f t="shared" si="33"/>
        <v>0.55568457868801446</v>
      </c>
    </row>
    <row r="285" spans="40:47" x14ac:dyDescent="0.25">
      <c r="AN285" s="262">
        <f t="shared" si="31"/>
        <v>74</v>
      </c>
      <c r="AO285" s="277">
        <v>701503</v>
      </c>
      <c r="AP285" s="262">
        <v>6.7775660792568403E-3</v>
      </c>
      <c r="AQ285" s="308">
        <f t="shared" si="32"/>
        <v>0.91669527926463146</v>
      </c>
      <c r="AS285" s="277">
        <v>445728.874215836</v>
      </c>
      <c r="AT285" s="262">
        <v>1.40661211687419E-2</v>
      </c>
      <c r="AU285" s="308">
        <f t="shared" si="33"/>
        <v>0.56975069985675642</v>
      </c>
    </row>
    <row r="286" spans="40:47" x14ac:dyDescent="0.25">
      <c r="AN286" s="262">
        <f t="shared" si="31"/>
        <v>75</v>
      </c>
      <c r="AO286" s="277">
        <v>709169</v>
      </c>
      <c r="AP286" s="262">
        <v>6.7145889209701704E-3</v>
      </c>
      <c r="AQ286" s="308">
        <f t="shared" si="32"/>
        <v>0.92340986818560167</v>
      </c>
      <c r="AS286" s="277">
        <v>458160.56336174498</v>
      </c>
      <c r="AT286" s="262">
        <v>1.44383002794118E-2</v>
      </c>
      <c r="AU286" s="308">
        <f t="shared" si="33"/>
        <v>0.58418900013616826</v>
      </c>
    </row>
    <row r="287" spans="40:47" x14ac:dyDescent="0.25">
      <c r="AN287" s="262">
        <f t="shared" si="31"/>
        <v>76</v>
      </c>
      <c r="AO287" s="277">
        <v>709739</v>
      </c>
      <c r="AP287" s="262">
        <v>5.4716186916278602E-3</v>
      </c>
      <c r="AQ287" s="308">
        <f t="shared" si="32"/>
        <v>0.92888148687722949</v>
      </c>
      <c r="AS287" s="277">
        <v>460817.49649414798</v>
      </c>
      <c r="AT287" s="262">
        <v>1.4518589988115701E-2</v>
      </c>
      <c r="AU287" s="308">
        <f t="shared" si="33"/>
        <v>0.59870759012428398</v>
      </c>
    </row>
    <row r="288" spans="40:47" x14ac:dyDescent="0.25">
      <c r="AN288" s="262">
        <f t="shared" si="31"/>
        <v>77</v>
      </c>
      <c r="AO288" s="277">
        <v>720160</v>
      </c>
      <c r="AP288" s="262">
        <v>5.3980057148219802E-3</v>
      </c>
      <c r="AQ288" s="308">
        <f t="shared" si="32"/>
        <v>0.93427949259205145</v>
      </c>
      <c r="AS288" s="277">
        <v>466258.183921827</v>
      </c>
      <c r="AT288" s="262">
        <v>1.4606368425654199E-2</v>
      </c>
      <c r="AU288" s="308">
        <f t="shared" si="33"/>
        <v>0.6133139585499382</v>
      </c>
    </row>
    <row r="289" spans="40:47" x14ac:dyDescent="0.25">
      <c r="AN289" s="262">
        <f t="shared" si="31"/>
        <v>78</v>
      </c>
      <c r="AO289" s="277">
        <v>734257</v>
      </c>
      <c r="AP289" s="262">
        <v>5.3581942434469997E-3</v>
      </c>
      <c r="AQ289" s="308">
        <f t="shared" si="32"/>
        <v>0.93963768683549842</v>
      </c>
      <c r="AS289" s="277">
        <v>471472.855793514</v>
      </c>
      <c r="AT289" s="262">
        <v>1.46338056263368E-2</v>
      </c>
      <c r="AU289" s="308">
        <f t="shared" si="33"/>
        <v>0.62794776417627496</v>
      </c>
    </row>
    <row r="290" spans="40:47" x14ac:dyDescent="0.25">
      <c r="AN290" s="262">
        <f t="shared" si="31"/>
        <v>79</v>
      </c>
      <c r="AO290" s="277">
        <v>754209</v>
      </c>
      <c r="AP290" s="262">
        <v>4.9666540681996699E-3</v>
      </c>
      <c r="AQ290" s="308">
        <f t="shared" si="32"/>
        <v>0.94460434090369805</v>
      </c>
      <c r="AS290" s="277">
        <v>473378.74566372298</v>
      </c>
      <c r="AT290" s="262">
        <v>1.49997432351938E-2</v>
      </c>
      <c r="AU290" s="308">
        <f t="shared" si="33"/>
        <v>0.64294750741146878</v>
      </c>
    </row>
    <row r="291" spans="40:47" x14ac:dyDescent="0.25">
      <c r="AN291" s="262">
        <f t="shared" si="31"/>
        <v>80</v>
      </c>
      <c r="AO291" s="277">
        <v>763708</v>
      </c>
      <c r="AP291" s="262">
        <v>4.90409578632728E-3</v>
      </c>
      <c r="AQ291" s="308">
        <f t="shared" si="32"/>
        <v>0.94950843669002538</v>
      </c>
      <c r="AS291" s="277">
        <v>473600.59338807198</v>
      </c>
      <c r="AT291" s="262">
        <v>1.5037051144866901E-2</v>
      </c>
      <c r="AU291" s="308">
        <f t="shared" si="33"/>
        <v>0.65798455855633564</v>
      </c>
    </row>
    <row r="292" spans="40:47" x14ac:dyDescent="0.25">
      <c r="AN292" s="262">
        <f t="shared" si="31"/>
        <v>81</v>
      </c>
      <c r="AO292" s="277">
        <v>764649</v>
      </c>
      <c r="AP292" s="262">
        <v>4.6866442912599201E-3</v>
      </c>
      <c r="AQ292" s="308">
        <f t="shared" si="32"/>
        <v>0.95419508098128525</v>
      </c>
      <c r="AS292" s="277">
        <v>482792.68653778901</v>
      </c>
      <c r="AT292" s="262">
        <v>1.5569852927985701E-2</v>
      </c>
      <c r="AU292" s="308">
        <f t="shared" si="33"/>
        <v>0.67355441148432138</v>
      </c>
    </row>
    <row r="293" spans="40:47" x14ac:dyDescent="0.25">
      <c r="AN293" s="262">
        <f t="shared" si="31"/>
        <v>82</v>
      </c>
      <c r="AO293" s="277">
        <v>773073</v>
      </c>
      <c r="AP293" s="262">
        <v>4.4754577303888097E-3</v>
      </c>
      <c r="AQ293" s="308">
        <f t="shared" si="32"/>
        <v>0.95867053871167407</v>
      </c>
      <c r="AS293" s="277">
        <v>483641.97154587001</v>
      </c>
      <c r="AT293" s="262">
        <v>1.5658731846704899E-2</v>
      </c>
      <c r="AU293" s="308">
        <f t="shared" si="33"/>
        <v>0.68921314333102623</v>
      </c>
    </row>
    <row r="294" spans="40:47" x14ac:dyDescent="0.25">
      <c r="AN294" s="262">
        <f t="shared" si="31"/>
        <v>83</v>
      </c>
      <c r="AO294" s="277">
        <v>775935</v>
      </c>
      <c r="AP294" s="262">
        <v>4.4192372307847103E-3</v>
      </c>
      <c r="AQ294" s="308">
        <f t="shared" si="32"/>
        <v>0.96308977594245881</v>
      </c>
      <c r="AS294" s="277">
        <v>493654.889367586</v>
      </c>
      <c r="AT294" s="262">
        <v>1.5714883426016998E-2</v>
      </c>
      <c r="AU294" s="308">
        <f t="shared" si="33"/>
        <v>0.70492802675704325</v>
      </c>
    </row>
    <row r="295" spans="40:47" x14ac:dyDescent="0.25">
      <c r="AN295" s="262">
        <f t="shared" si="31"/>
        <v>84</v>
      </c>
      <c r="AO295" s="277">
        <v>782910</v>
      </c>
      <c r="AP295" s="262">
        <v>4.3209469695720997E-3</v>
      </c>
      <c r="AQ295" s="308">
        <f t="shared" si="32"/>
        <v>0.9674107229120309</v>
      </c>
      <c r="AS295" s="277">
        <v>511281.84019781201</v>
      </c>
      <c r="AT295" s="262">
        <v>1.6041701410910599E-2</v>
      </c>
      <c r="AU295" s="308">
        <f t="shared" si="33"/>
        <v>0.72096972816795379</v>
      </c>
    </row>
    <row r="296" spans="40:47" x14ac:dyDescent="0.25">
      <c r="AN296" s="262">
        <f t="shared" si="31"/>
        <v>85</v>
      </c>
      <c r="AO296" s="277">
        <v>790698</v>
      </c>
      <c r="AP296" s="262">
        <v>4.1983618763310297E-3</v>
      </c>
      <c r="AQ296" s="308">
        <f t="shared" si="32"/>
        <v>0.97160908478836194</v>
      </c>
      <c r="AS296" s="277">
        <v>512465.74254642997</v>
      </c>
      <c r="AT296" s="262">
        <v>1.6197905554343799E-2</v>
      </c>
      <c r="AU296" s="308">
        <f t="shared" si="33"/>
        <v>0.73716763372229754</v>
      </c>
    </row>
    <row r="297" spans="40:47" x14ac:dyDescent="0.25">
      <c r="AN297" s="262">
        <f t="shared" si="31"/>
        <v>86</v>
      </c>
      <c r="AO297" s="277">
        <v>810606</v>
      </c>
      <c r="AP297" s="262">
        <v>3.6279978962205301E-3</v>
      </c>
      <c r="AQ297" s="308">
        <f t="shared" si="32"/>
        <v>0.97523708268458242</v>
      </c>
      <c r="AS297" s="277">
        <v>515968.38825979101</v>
      </c>
      <c r="AT297" s="262">
        <v>1.6240378844038599E-2</v>
      </c>
      <c r="AU297" s="308">
        <f t="shared" si="33"/>
        <v>0.75340801256633616</v>
      </c>
    </row>
    <row r="298" spans="40:47" x14ac:dyDescent="0.25">
      <c r="AN298" s="262">
        <f t="shared" si="31"/>
        <v>87</v>
      </c>
      <c r="AO298" s="277">
        <v>823051</v>
      </c>
      <c r="AP298" s="262">
        <v>3.6258488780950698E-3</v>
      </c>
      <c r="AQ298" s="308">
        <f t="shared" si="32"/>
        <v>0.97886293156267745</v>
      </c>
      <c r="AS298" s="277">
        <v>522113.43923525402</v>
      </c>
      <c r="AT298" s="262">
        <v>1.65832190061968E-2</v>
      </c>
      <c r="AU298" s="308">
        <f t="shared" si="33"/>
        <v>0.76999123157253291</v>
      </c>
    </row>
    <row r="299" spans="40:47" x14ac:dyDescent="0.25">
      <c r="AN299" s="262">
        <f t="shared" si="31"/>
        <v>88</v>
      </c>
      <c r="AO299" s="277">
        <v>828793</v>
      </c>
      <c r="AP299" s="262">
        <v>3.0968808149266099E-3</v>
      </c>
      <c r="AQ299" s="308">
        <f t="shared" si="32"/>
        <v>0.9819598123776041</v>
      </c>
      <c r="AS299" s="277">
        <v>529975.27960520703</v>
      </c>
      <c r="AT299" s="262">
        <v>1.7022758407907401E-2</v>
      </c>
      <c r="AU299" s="308">
        <f t="shared" si="33"/>
        <v>0.78701398998044025</v>
      </c>
    </row>
    <row r="300" spans="40:47" x14ac:dyDescent="0.25">
      <c r="AN300" s="262">
        <f t="shared" si="31"/>
        <v>89</v>
      </c>
      <c r="AO300" s="277">
        <v>845207</v>
      </c>
      <c r="AP300" s="262">
        <v>2.8759144003828699E-3</v>
      </c>
      <c r="AQ300" s="308">
        <f t="shared" si="32"/>
        <v>0.98483572677798692</v>
      </c>
      <c r="AS300" s="277">
        <v>531376.02828020102</v>
      </c>
      <c r="AT300" s="262">
        <v>1.7095467506324399E-2</v>
      </c>
      <c r="AU300" s="308">
        <f t="shared" si="33"/>
        <v>0.80410945748676466</v>
      </c>
    </row>
    <row r="301" spans="40:47" x14ac:dyDescent="0.25">
      <c r="AN301" s="262">
        <f t="shared" si="31"/>
        <v>90</v>
      </c>
      <c r="AO301" s="277">
        <v>866435</v>
      </c>
      <c r="AP301" s="262">
        <v>2.6523618792813801E-3</v>
      </c>
      <c r="AQ301" s="308">
        <f t="shared" si="32"/>
        <v>0.98748808865726834</v>
      </c>
      <c r="AS301" s="277">
        <v>547983.28932857094</v>
      </c>
      <c r="AT301" s="262">
        <v>1.7175359814197499E-2</v>
      </c>
      <c r="AU301" s="308">
        <f t="shared" si="33"/>
        <v>0.82128481730096214</v>
      </c>
    </row>
    <row r="302" spans="40:47" x14ac:dyDescent="0.25">
      <c r="AN302" s="262">
        <f t="shared" si="31"/>
        <v>91</v>
      </c>
      <c r="AO302" s="277">
        <v>887077</v>
      </c>
      <c r="AP302" s="262">
        <v>2.64017803923113E-3</v>
      </c>
      <c r="AQ302" s="308">
        <f t="shared" si="32"/>
        <v>0.99012826669649945</v>
      </c>
      <c r="AS302" s="277">
        <v>556671.78933482501</v>
      </c>
      <c r="AT302" s="262">
        <v>1.7221755312877E-2</v>
      </c>
      <c r="AU302" s="308">
        <f t="shared" si="33"/>
        <v>0.8385065726138391</v>
      </c>
    </row>
    <row r="303" spans="40:47" x14ac:dyDescent="0.25">
      <c r="AN303" s="262">
        <f t="shared" si="31"/>
        <v>92</v>
      </c>
      <c r="AO303" s="277">
        <v>895520</v>
      </c>
      <c r="AP303" s="262">
        <v>2.36191661602056E-3</v>
      </c>
      <c r="AQ303" s="308">
        <f t="shared" si="32"/>
        <v>0.99249018331252004</v>
      </c>
      <c r="AS303" s="277">
        <v>557045.94153552502</v>
      </c>
      <c r="AT303" s="262">
        <v>1.7497074676118999E-2</v>
      </c>
      <c r="AU303" s="308">
        <f t="shared" si="33"/>
        <v>0.85600364728995815</v>
      </c>
    </row>
    <row r="304" spans="40:47" x14ac:dyDescent="0.25">
      <c r="AN304" s="262">
        <f t="shared" si="31"/>
        <v>93</v>
      </c>
      <c r="AO304" s="277">
        <v>901341</v>
      </c>
      <c r="AP304" s="262">
        <v>2.0479414254877901E-3</v>
      </c>
      <c r="AQ304" s="308">
        <f t="shared" si="32"/>
        <v>0.99453812473800784</v>
      </c>
      <c r="AS304" s="277">
        <v>562042.45719088998</v>
      </c>
      <c r="AT304" s="262">
        <v>1.7508569889973499E-2</v>
      </c>
      <c r="AU304" s="308">
        <f t="shared" si="33"/>
        <v>0.87351221717993166</v>
      </c>
    </row>
    <row r="305" spans="40:47" x14ac:dyDescent="0.25">
      <c r="AN305" s="262">
        <f t="shared" si="31"/>
        <v>94</v>
      </c>
      <c r="AO305" s="277">
        <v>901447</v>
      </c>
      <c r="AP305" s="262">
        <v>1.56637924520546E-3</v>
      </c>
      <c r="AQ305" s="308">
        <f t="shared" si="32"/>
        <v>0.99610450398321326</v>
      </c>
      <c r="AS305" s="277">
        <v>567536.96918722498</v>
      </c>
      <c r="AT305" s="262">
        <v>1.7821215836264701E-2</v>
      </c>
      <c r="AU305" s="308">
        <f t="shared" si="33"/>
        <v>0.89133343301619639</v>
      </c>
    </row>
    <row r="306" spans="40:47" x14ac:dyDescent="0.25">
      <c r="AN306" s="262">
        <f t="shared" si="31"/>
        <v>95</v>
      </c>
      <c r="AO306" s="277">
        <v>901647</v>
      </c>
      <c r="AP306" s="262">
        <v>1.3547738079200699E-3</v>
      </c>
      <c r="AQ306" s="308">
        <f t="shared" si="32"/>
        <v>0.9974592777911333</v>
      </c>
      <c r="AS306" s="277">
        <v>572988.85021989001</v>
      </c>
      <c r="AT306" s="262">
        <v>1.7899545950191598E-2</v>
      </c>
      <c r="AU306" s="308">
        <f t="shared" si="33"/>
        <v>0.90923297896638799</v>
      </c>
    </row>
    <row r="307" spans="40:47" x14ac:dyDescent="0.25">
      <c r="AN307" s="262">
        <f t="shared" si="31"/>
        <v>96</v>
      </c>
      <c r="AO307" s="277">
        <v>902604</v>
      </c>
      <c r="AP307" s="262">
        <v>7.8604890943066903E-4</v>
      </c>
      <c r="AQ307" s="308">
        <f t="shared" si="32"/>
        <v>0.99824532670056398</v>
      </c>
      <c r="AS307" s="277">
        <v>573134.24800380296</v>
      </c>
      <c r="AT307" s="262">
        <v>1.79038806355903E-2</v>
      </c>
      <c r="AU307" s="308">
        <f t="shared" si="33"/>
        <v>0.92713685960197834</v>
      </c>
    </row>
    <row r="308" spans="40:47" x14ac:dyDescent="0.25">
      <c r="AN308" s="262">
        <f t="shared" si="31"/>
        <v>97</v>
      </c>
      <c r="AO308" s="277">
        <v>931783</v>
      </c>
      <c r="AP308" s="262">
        <v>7.2307175114399199E-4</v>
      </c>
      <c r="AQ308" s="308">
        <f t="shared" si="32"/>
        <v>0.99896839845170793</v>
      </c>
      <c r="AS308" s="277">
        <v>578694.96898282098</v>
      </c>
      <c r="AT308" s="262">
        <v>1.8102602518697199E-2</v>
      </c>
      <c r="AU308" s="308">
        <f t="shared" si="33"/>
        <v>0.94523946212067556</v>
      </c>
    </row>
    <row r="309" spans="40:47" x14ac:dyDescent="0.25">
      <c r="AN309" s="262">
        <f t="shared" si="31"/>
        <v>98</v>
      </c>
      <c r="AO309" s="277">
        <v>933864</v>
      </c>
      <c r="AP309" s="262">
        <v>4.7618963496869201E-4</v>
      </c>
      <c r="AQ309" s="308">
        <f t="shared" si="32"/>
        <v>0.99944458808667658</v>
      </c>
      <c r="AS309" s="277">
        <v>581074.68177046604</v>
      </c>
      <c r="AT309" s="262">
        <v>1.8109668149000301E-2</v>
      </c>
      <c r="AU309" s="308">
        <f t="shared" si="33"/>
        <v>0.96334913026967584</v>
      </c>
    </row>
    <row r="310" spans="40:47" x14ac:dyDescent="0.25">
      <c r="AN310" s="262">
        <f t="shared" si="31"/>
        <v>99</v>
      </c>
      <c r="AO310" s="277">
        <v>960122</v>
      </c>
      <c r="AP310" s="262">
        <v>2.8973499455834002E-4</v>
      </c>
      <c r="AQ310" s="308">
        <f t="shared" si="32"/>
        <v>0.99973432308123489</v>
      </c>
      <c r="AS310" s="277">
        <v>584533.02938750002</v>
      </c>
      <c r="AT310" s="262">
        <v>1.8290765489114801E-2</v>
      </c>
      <c r="AU310" s="308">
        <f t="shared" si="33"/>
        <v>0.98163989575879063</v>
      </c>
    </row>
    <row r="311" spans="40:47" x14ac:dyDescent="0.25">
      <c r="AN311" s="262">
        <f t="shared" si="31"/>
        <v>100</v>
      </c>
      <c r="AO311" s="277">
        <v>989234</v>
      </c>
      <c r="AP311" s="262">
        <v>2.6567691876403703E-4</v>
      </c>
      <c r="AQ311" s="308">
        <f t="shared" si="32"/>
        <v>0.99999999999999889</v>
      </c>
      <c r="AS311" s="277">
        <v>584998.27847984096</v>
      </c>
      <c r="AT311" s="262">
        <v>1.8360104241208999E-2</v>
      </c>
      <c r="AU311" s="308">
        <f t="shared" si="33"/>
        <v>0.99999999999999967</v>
      </c>
    </row>
  </sheetData>
  <mergeCells count="18">
    <mergeCell ref="D15:G15"/>
    <mergeCell ref="J15:M15"/>
    <mergeCell ref="P15:S15"/>
    <mergeCell ref="D16:G16"/>
    <mergeCell ref="J16:M16"/>
    <mergeCell ref="P16:S16"/>
    <mergeCell ref="BB186:BC186"/>
    <mergeCell ref="D18:E18"/>
    <mergeCell ref="F18:G18"/>
    <mergeCell ref="J18:K18"/>
    <mergeCell ref="L18:M18"/>
    <mergeCell ref="P18:Q18"/>
    <mergeCell ref="R18:S18"/>
    <mergeCell ref="AN186:AO186"/>
    <mergeCell ref="AP186:AQ186"/>
    <mergeCell ref="AT186:AU186"/>
    <mergeCell ref="AV186:AW186"/>
    <mergeCell ref="AZ186:BA18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G55"/>
  <sheetViews>
    <sheetView topLeftCell="A38" workbookViewId="0">
      <selection activeCell="G38" sqref="G38"/>
    </sheetView>
  </sheetViews>
  <sheetFormatPr defaultColWidth="11.42578125" defaultRowHeight="15" x14ac:dyDescent="0.25"/>
  <cols>
    <col min="1" max="1" width="6.28515625" style="28" customWidth="1"/>
    <col min="2" max="2" width="10" style="29" customWidth="1"/>
    <col min="3" max="3" width="29.7109375" style="28" customWidth="1"/>
    <col min="4" max="4" width="36" style="28" customWidth="1"/>
    <col min="5" max="5" width="21.42578125" style="28" customWidth="1"/>
    <col min="6" max="7" width="10.7109375" style="28" customWidth="1"/>
    <col min="8" max="16384" width="11.42578125" style="424"/>
  </cols>
  <sheetData>
    <row r="1" spans="1:6" s="28" customFormat="1" x14ac:dyDescent="0.25">
      <c r="A1" s="6"/>
      <c r="B1" s="7" t="s">
        <v>54</v>
      </c>
      <c r="C1" s="8"/>
      <c r="D1" s="8"/>
      <c r="E1" s="8"/>
      <c r="F1" s="84"/>
    </row>
    <row r="2" spans="1:6" s="28" customFormat="1" x14ac:dyDescent="0.25">
      <c r="A2" s="14"/>
      <c r="B2" s="10"/>
      <c r="C2" s="8"/>
      <c r="D2" s="8"/>
      <c r="E2" s="8"/>
      <c r="F2" s="84"/>
    </row>
    <row r="3" spans="1:6" s="28" customFormat="1" ht="30" customHeight="1" x14ac:dyDescent="0.25">
      <c r="A3" s="14"/>
      <c r="B3" s="87"/>
      <c r="C3" s="707" t="s">
        <v>375</v>
      </c>
      <c r="D3" s="707"/>
      <c r="E3" s="707"/>
      <c r="F3" s="708"/>
    </row>
    <row r="4" spans="1:6" s="28" customFormat="1" x14ac:dyDescent="0.25">
      <c r="A4" s="14"/>
      <c r="B4" s="87"/>
      <c r="C4" s="165"/>
      <c r="D4" s="165"/>
      <c r="E4" s="165"/>
      <c r="F4" s="84"/>
    </row>
    <row r="5" spans="1:6" s="28" customFormat="1" x14ac:dyDescent="0.25">
      <c r="A5" s="56"/>
      <c r="B5" s="87"/>
      <c r="C5" s="709" t="s">
        <v>376</v>
      </c>
      <c r="D5" s="710"/>
      <c r="E5" s="443">
        <v>50000</v>
      </c>
      <c r="F5" s="84"/>
    </row>
    <row r="6" spans="1:6" s="28" customFormat="1" x14ac:dyDescent="0.25">
      <c r="A6" s="56"/>
      <c r="B6" s="87"/>
      <c r="C6" s="709" t="s">
        <v>377</v>
      </c>
      <c r="D6" s="710"/>
      <c r="E6" s="443">
        <v>0</v>
      </c>
      <c r="F6" s="84"/>
    </row>
    <row r="7" spans="1:6" s="28" customFormat="1" x14ac:dyDescent="0.25">
      <c r="A7" s="56"/>
      <c r="B7" s="87"/>
      <c r="C7" s="167" t="s">
        <v>378</v>
      </c>
      <c r="D7" s="442"/>
      <c r="E7" s="443">
        <v>71200</v>
      </c>
      <c r="F7" s="84"/>
    </row>
    <row r="8" spans="1:6" s="28" customFormat="1" x14ac:dyDescent="0.25">
      <c r="A8" s="56"/>
      <c r="B8" s="87"/>
      <c r="C8" s="709" t="s">
        <v>379</v>
      </c>
      <c r="D8" s="710"/>
      <c r="E8" s="443">
        <v>10000</v>
      </c>
      <c r="F8" s="84"/>
    </row>
    <row r="9" spans="1:6" s="28" customFormat="1" x14ac:dyDescent="0.25">
      <c r="A9" s="56"/>
      <c r="B9" s="87"/>
      <c r="C9" s="709" t="s">
        <v>380</v>
      </c>
      <c r="D9" s="710"/>
      <c r="E9" s="443">
        <v>2500</v>
      </c>
      <c r="F9" s="84"/>
    </row>
    <row r="10" spans="1:6" s="28" customFormat="1" x14ac:dyDescent="0.25">
      <c r="A10" s="56"/>
      <c r="B10" s="87"/>
      <c r="C10" s="709" t="s">
        <v>381</v>
      </c>
      <c r="D10" s="710"/>
      <c r="E10" s="443">
        <v>100000</v>
      </c>
      <c r="F10" s="84"/>
    </row>
    <row r="11" spans="1:6" s="28" customFormat="1" x14ac:dyDescent="0.25">
      <c r="A11" s="56"/>
      <c r="B11" s="87"/>
      <c r="C11" s="167" t="s">
        <v>382</v>
      </c>
      <c r="D11" s="442"/>
      <c r="E11" s="443">
        <v>20000</v>
      </c>
      <c r="F11" s="84"/>
    </row>
    <row r="12" spans="1:6" s="28" customFormat="1" x14ac:dyDescent="0.25">
      <c r="A12" s="56"/>
      <c r="B12" s="87"/>
      <c r="C12" s="167" t="s">
        <v>383</v>
      </c>
      <c r="D12" s="442"/>
      <c r="E12" s="443">
        <v>5000</v>
      </c>
      <c r="F12" s="84"/>
    </row>
    <row r="13" spans="1:6" s="28" customFormat="1" x14ac:dyDescent="0.25">
      <c r="A13" s="56"/>
      <c r="B13" s="87"/>
      <c r="C13" s="167" t="s">
        <v>384</v>
      </c>
      <c r="D13" s="442"/>
      <c r="E13" s="443">
        <v>40000</v>
      </c>
      <c r="F13" s="84"/>
    </row>
    <row r="14" spans="1:6" s="28" customFormat="1" x14ac:dyDescent="0.25">
      <c r="A14" s="56"/>
      <c r="B14" s="87"/>
      <c r="C14" s="5"/>
      <c r="D14" s="5"/>
      <c r="E14" s="165"/>
      <c r="F14" s="84"/>
    </row>
    <row r="15" spans="1:6" s="28" customFormat="1" x14ac:dyDescent="0.25">
      <c r="A15" s="332" t="s">
        <v>89</v>
      </c>
      <c r="B15" s="11" t="s">
        <v>28</v>
      </c>
      <c r="C15" s="333" t="s">
        <v>385</v>
      </c>
      <c r="D15" s="31"/>
      <c r="E15" s="31"/>
      <c r="F15" s="84"/>
    </row>
    <row r="16" spans="1:6" s="28" customFormat="1" x14ac:dyDescent="0.25">
      <c r="A16" s="332"/>
      <c r="B16" s="11"/>
      <c r="C16" s="333"/>
      <c r="D16" s="31"/>
      <c r="E16" s="31"/>
      <c r="F16" s="84"/>
    </row>
    <row r="17" spans="1:6" s="28" customFormat="1" x14ac:dyDescent="0.25">
      <c r="A17" s="332" t="s">
        <v>27</v>
      </c>
      <c r="B17" s="11" t="s">
        <v>0</v>
      </c>
      <c r="C17" s="705" t="s">
        <v>386</v>
      </c>
      <c r="D17" s="705"/>
      <c r="E17" s="705"/>
      <c r="F17" s="706"/>
    </row>
    <row r="18" spans="1:6" s="28" customFormat="1" ht="15.75" thickBot="1" x14ac:dyDescent="0.3">
      <c r="A18" s="14"/>
      <c r="B18" s="10"/>
      <c r="C18" s="33"/>
      <c r="D18" s="31"/>
      <c r="E18" s="31"/>
      <c r="F18" s="84"/>
    </row>
    <row r="19" spans="1:6" s="28" customFormat="1" ht="15.75" thickBot="1" x14ac:dyDescent="0.3">
      <c r="A19" s="3" t="s">
        <v>137</v>
      </c>
      <c r="B19" s="90"/>
      <c r="C19" s="4"/>
      <c r="D19" s="4"/>
      <c r="E19" s="4"/>
      <c r="F19" s="91"/>
    </row>
    <row r="20" spans="1:6" s="28" customFormat="1" x14ac:dyDescent="0.25">
      <c r="A20" s="19"/>
      <c r="B20" s="29"/>
      <c r="C20" s="92"/>
      <c r="D20" s="92"/>
      <c r="E20" s="92"/>
    </row>
    <row r="21" spans="1:6" s="28" customFormat="1" x14ac:dyDescent="0.25">
      <c r="A21" s="425">
        <v>1</v>
      </c>
      <c r="B21" s="28" t="s">
        <v>13</v>
      </c>
      <c r="C21" s="444" t="s">
        <v>387</v>
      </c>
    </row>
    <row r="22" spans="1:6" s="28" customFormat="1" x14ac:dyDescent="0.25">
      <c r="B22" s="29"/>
      <c r="C22" s="426" t="s">
        <v>388</v>
      </c>
    </row>
    <row r="23" spans="1:6" s="28" customFormat="1" x14ac:dyDescent="0.25">
      <c r="B23" s="425"/>
      <c r="C23" s="28" t="s">
        <v>389</v>
      </c>
    </row>
    <row r="24" spans="1:6" s="28" customFormat="1" x14ac:dyDescent="0.25">
      <c r="B24" s="29"/>
      <c r="C24" s="445">
        <f>E7+E6+E5</f>
        <v>121200</v>
      </c>
    </row>
    <row r="26" spans="1:6" s="28" customFormat="1" x14ac:dyDescent="0.25">
      <c r="B26" s="29"/>
      <c r="C26" s="426" t="s">
        <v>390</v>
      </c>
    </row>
    <row r="27" spans="1:6" s="28" customFormat="1" x14ac:dyDescent="0.25">
      <c r="B27" s="29"/>
      <c r="C27" s="108">
        <f>E11</f>
        <v>20000</v>
      </c>
    </row>
    <row r="29" spans="1:6" s="28" customFormat="1" x14ac:dyDescent="0.25">
      <c r="B29" s="29"/>
      <c r="C29" s="426" t="s">
        <v>391</v>
      </c>
    </row>
    <row r="30" spans="1:6" s="28" customFormat="1" x14ac:dyDescent="0.25">
      <c r="B30" s="29"/>
      <c r="C30" s="28" t="s">
        <v>392</v>
      </c>
    </row>
    <row r="31" spans="1:6" s="28" customFormat="1" x14ac:dyDescent="0.25">
      <c r="B31" s="29"/>
      <c r="C31" s="28">
        <f>C27+E8+E9</f>
        <v>32500</v>
      </c>
    </row>
    <row r="33" spans="1:3" s="28" customFormat="1" x14ac:dyDescent="0.25">
      <c r="B33" s="29"/>
      <c r="C33" s="426" t="s">
        <v>393</v>
      </c>
    </row>
    <row r="34" spans="1:3" s="28" customFormat="1" x14ac:dyDescent="0.25">
      <c r="B34" s="29"/>
      <c r="C34" s="28" t="s">
        <v>394</v>
      </c>
    </row>
    <row r="35" spans="1:3" s="28" customFormat="1" x14ac:dyDescent="0.25">
      <c r="B35" s="29"/>
      <c r="C35" s="28">
        <f>E10+E12+E13</f>
        <v>145000</v>
      </c>
    </row>
    <row r="37" spans="1:3" s="28" customFormat="1" x14ac:dyDescent="0.25">
      <c r="B37" s="29"/>
      <c r="C37" s="426" t="s">
        <v>395</v>
      </c>
    </row>
    <row r="38" spans="1:3" s="28" customFormat="1" x14ac:dyDescent="0.25">
      <c r="B38" s="29"/>
      <c r="C38" s="28" t="s">
        <v>396</v>
      </c>
    </row>
    <row r="39" spans="1:3" s="28" customFormat="1" x14ac:dyDescent="0.25">
      <c r="B39" s="29"/>
      <c r="C39" s="446">
        <f>C24+C31-C35</f>
        <v>8700</v>
      </c>
    </row>
    <row r="41" spans="1:3" s="28" customFormat="1" x14ac:dyDescent="0.25">
      <c r="A41" s="425">
        <v>0.75</v>
      </c>
      <c r="B41" s="28" t="s">
        <v>27</v>
      </c>
      <c r="C41" s="444" t="s">
        <v>397</v>
      </c>
    </row>
    <row r="42" spans="1:3" s="28" customFormat="1" x14ac:dyDescent="0.25">
      <c r="B42" s="29"/>
      <c r="C42" s="426" t="s">
        <v>398</v>
      </c>
    </row>
    <row r="43" spans="1:3" s="28" customFormat="1" x14ac:dyDescent="0.25">
      <c r="B43" s="29"/>
      <c r="C43" s="28" t="s">
        <v>399</v>
      </c>
    </row>
    <row r="44" spans="1:3" s="28" customFormat="1" x14ac:dyDescent="0.25">
      <c r="B44" s="425"/>
      <c r="C44" s="28" t="s">
        <v>400</v>
      </c>
    </row>
    <row r="45" spans="1:3" s="28" customFormat="1" x14ac:dyDescent="0.25">
      <c r="B45" s="425"/>
      <c r="C45" s="28" t="s">
        <v>401</v>
      </c>
    </row>
    <row r="46" spans="1:3" s="28" customFormat="1" x14ac:dyDescent="0.25">
      <c r="B46" s="29"/>
      <c r="C46" s="28" t="s">
        <v>402</v>
      </c>
    </row>
    <row r="47" spans="1:3" s="28" customFormat="1" x14ac:dyDescent="0.25">
      <c r="B47" s="29"/>
      <c r="C47" s="28" t="s">
        <v>403</v>
      </c>
    </row>
    <row r="48" spans="1:3" s="28" customFormat="1" x14ac:dyDescent="0.25">
      <c r="B48" s="29"/>
    </row>
    <row r="49" spans="2:3" s="28" customFormat="1" x14ac:dyDescent="0.25">
      <c r="B49" s="29"/>
      <c r="C49" s="444" t="s">
        <v>397</v>
      </c>
    </row>
    <row r="50" spans="2:3" s="28" customFormat="1" x14ac:dyDescent="0.25">
      <c r="B50" s="29"/>
      <c r="C50" s="426" t="s">
        <v>404</v>
      </c>
    </row>
    <row r="51" spans="2:3" s="28" customFormat="1" x14ac:dyDescent="0.25">
      <c r="B51" s="425"/>
    </row>
    <row r="53" spans="2:3" s="28" customFormat="1" x14ac:dyDescent="0.25">
      <c r="B53" s="29"/>
    </row>
    <row r="54" spans="2:3" s="28" customFormat="1" x14ac:dyDescent="0.25">
      <c r="B54" s="29"/>
    </row>
    <row r="55" spans="2:3" s="28" customFormat="1" x14ac:dyDescent="0.25">
      <c r="B55" s="29"/>
    </row>
  </sheetData>
  <mergeCells count="7">
    <mergeCell ref="C17:F17"/>
    <mergeCell ref="C3:F3"/>
    <mergeCell ref="C5:D5"/>
    <mergeCell ref="C6:D6"/>
    <mergeCell ref="C8:D8"/>
    <mergeCell ref="C9:D9"/>
    <mergeCell ref="C10:D10"/>
  </mergeCells>
  <conditionalFormatting sqref="A21 B23 A41 B44:B45 D46:E46 C47:E48 A48:B51 D49:E50 C53">
    <cfRule type="expression" dxfId="78" priority="10">
      <formula>CELL("protect",A21)=1</formula>
    </cfRule>
  </conditionalFormatting>
  <conditionalFormatting sqref="B54:B55">
    <cfRule type="expression" dxfId="77" priority="2">
      <formula>CELL("protect",B54)=1</formula>
    </cfRule>
  </conditionalFormatting>
  <conditionalFormatting sqref="C22">
    <cfRule type="expression" dxfId="76" priority="8">
      <formula>CELL("protect",C22)=1</formula>
    </cfRule>
  </conditionalFormatting>
  <conditionalFormatting sqref="C26">
    <cfRule type="expression" dxfId="75" priority="5">
      <formula>CELL("protect",C26)=1</formula>
    </cfRule>
  </conditionalFormatting>
  <conditionalFormatting sqref="C29">
    <cfRule type="expression" dxfId="74" priority="9">
      <formula>CELL("protect",C29)=1</formula>
    </cfRule>
  </conditionalFormatting>
  <conditionalFormatting sqref="C33">
    <cfRule type="expression" dxfId="73" priority="6">
      <formula>CELL("protect",C33)=1</formula>
    </cfRule>
  </conditionalFormatting>
  <conditionalFormatting sqref="C37">
    <cfRule type="expression" dxfId="72" priority="7">
      <formula>CELL("protect",C37)=1</formula>
    </cfRule>
  </conditionalFormatting>
  <conditionalFormatting sqref="C42">
    <cfRule type="expression" dxfId="71" priority="3">
      <formula>CELL("protect",C42)=1</formula>
    </cfRule>
  </conditionalFormatting>
  <conditionalFormatting sqref="C50">
    <cfRule type="expression" dxfId="70" priority="1">
      <formula>CELL("protect",C50)=1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365"/>
  <sheetViews>
    <sheetView topLeftCell="A32" workbookViewId="0">
      <selection activeCell="B2" sqref="B2"/>
    </sheetView>
  </sheetViews>
  <sheetFormatPr defaultColWidth="0" defaultRowHeight="15" zeroHeight="1" x14ac:dyDescent="0.25"/>
  <cols>
    <col min="1" max="1" width="5.7109375" style="336" customWidth="1"/>
    <col min="2" max="2" width="11.7109375" style="368" customWidth="1"/>
    <col min="3" max="3" width="17.85546875" style="336" customWidth="1"/>
    <col min="4" max="4" width="21.5703125" style="336" customWidth="1"/>
    <col min="5" max="7" width="17.85546875" style="336" customWidth="1"/>
    <col min="8" max="8" width="20.28515625" style="336" customWidth="1"/>
    <col min="9" max="40" width="10.7109375" style="336" customWidth="1"/>
    <col min="41" max="16384" width="10.7109375" style="336" hidden="1"/>
  </cols>
  <sheetData>
    <row r="1" spans="1:8" x14ac:dyDescent="0.25">
      <c r="A1" s="6"/>
      <c r="B1" s="7" t="s">
        <v>73</v>
      </c>
      <c r="C1" s="8"/>
      <c r="D1" s="334"/>
      <c r="E1" s="334"/>
      <c r="F1" s="334"/>
      <c r="G1" s="334"/>
      <c r="H1" s="335"/>
    </row>
    <row r="2" spans="1:8" x14ac:dyDescent="0.25">
      <c r="A2" s="14"/>
      <c r="B2" s="10"/>
      <c r="C2" s="8"/>
      <c r="D2" s="334"/>
      <c r="E2" s="334"/>
      <c r="F2" s="334"/>
      <c r="G2" s="334"/>
      <c r="H2" s="335"/>
    </row>
    <row r="3" spans="1:8" x14ac:dyDescent="0.25">
      <c r="A3" s="14"/>
      <c r="B3" s="8" t="s">
        <v>405</v>
      </c>
      <c r="C3" s="195"/>
      <c r="D3" s="337"/>
      <c r="E3" s="337"/>
      <c r="F3" s="337"/>
      <c r="G3" s="337"/>
      <c r="H3" s="335"/>
    </row>
    <row r="4" spans="1:8" x14ac:dyDescent="0.25">
      <c r="A4" s="14"/>
      <c r="B4" s="338" t="s">
        <v>406</v>
      </c>
      <c r="C4" s="195"/>
      <c r="D4" s="338"/>
      <c r="E4" s="338"/>
      <c r="F4" s="338"/>
      <c r="G4" s="338"/>
      <c r="H4" s="335"/>
    </row>
    <row r="5" spans="1:8" x14ac:dyDescent="0.25">
      <c r="A5" s="14"/>
      <c r="B5" s="339"/>
      <c r="C5" s="338"/>
      <c r="D5" s="338"/>
      <c r="E5" s="338"/>
      <c r="F5" s="338"/>
      <c r="G5" s="338"/>
      <c r="H5" s="335"/>
    </row>
    <row r="6" spans="1:8" s="57" customFormat="1" ht="14.65" customHeight="1" x14ac:dyDescent="0.25">
      <c r="A6" s="340"/>
      <c r="B6" s="119" t="s">
        <v>407</v>
      </c>
      <c r="C6" s="195"/>
      <c r="D6" s="195"/>
      <c r="E6" s="195"/>
      <c r="F6" s="334"/>
      <c r="G6" s="334"/>
      <c r="H6" s="341"/>
    </row>
    <row r="7" spans="1:8" s="57" customFormat="1" x14ac:dyDescent="0.25">
      <c r="A7" s="340"/>
      <c r="B7" s="195"/>
      <c r="C7" s="195"/>
      <c r="D7" s="195"/>
      <c r="E7" s="195"/>
      <c r="F7" s="334"/>
      <c r="G7" s="334"/>
      <c r="H7" s="341"/>
    </row>
    <row r="8" spans="1:8" s="57" customFormat="1" ht="14.65" customHeight="1" x14ac:dyDescent="0.25">
      <c r="A8" s="340"/>
      <c r="B8" s="342" t="s">
        <v>7</v>
      </c>
      <c r="C8" s="249">
        <v>12</v>
      </c>
      <c r="D8" s="249">
        <v>24</v>
      </c>
      <c r="E8" s="249">
        <v>36</v>
      </c>
      <c r="F8" s="334"/>
      <c r="G8" s="334"/>
      <c r="H8" s="341"/>
    </row>
    <row r="9" spans="1:8" s="57" customFormat="1" ht="14.65" customHeight="1" x14ac:dyDescent="0.25">
      <c r="A9" s="340"/>
      <c r="B9" s="342">
        <f>B10-1</f>
        <v>2021</v>
      </c>
      <c r="C9" s="343">
        <v>13000</v>
      </c>
      <c r="D9" s="343">
        <v>6000</v>
      </c>
      <c r="E9" s="343">
        <v>4000</v>
      </c>
      <c r="F9" s="334"/>
      <c r="G9" s="344"/>
      <c r="H9" s="341"/>
    </row>
    <row r="10" spans="1:8" s="57" customFormat="1" ht="14.65" customHeight="1" x14ac:dyDescent="0.25">
      <c r="A10" s="340"/>
      <c r="B10" s="342">
        <f>B11-1</f>
        <v>2022</v>
      </c>
      <c r="C10" s="343">
        <v>17000</v>
      </c>
      <c r="D10" s="343">
        <v>8000</v>
      </c>
      <c r="E10" s="345"/>
      <c r="F10" s="334"/>
      <c r="G10" s="344"/>
      <c r="H10" s="341"/>
    </row>
    <row r="11" spans="1:8" s="57" customFormat="1" ht="14.65" customHeight="1" x14ac:dyDescent="0.25">
      <c r="A11" s="340"/>
      <c r="B11" s="342">
        <v>2023</v>
      </c>
      <c r="C11" s="346">
        <v>20000</v>
      </c>
      <c r="D11" s="345"/>
      <c r="E11" s="345"/>
      <c r="F11" s="334"/>
      <c r="G11" s="344"/>
      <c r="H11" s="341"/>
    </row>
    <row r="12" spans="1:8" s="57" customFormat="1" ht="14.65" customHeight="1" x14ac:dyDescent="0.25">
      <c r="A12" s="340"/>
      <c r="B12" s="195"/>
      <c r="C12" s="195"/>
      <c r="D12" s="195"/>
      <c r="E12" s="195"/>
      <c r="F12" s="334"/>
      <c r="G12" s="344"/>
      <c r="H12" s="341"/>
    </row>
    <row r="13" spans="1:8" s="57" customFormat="1" ht="14.65" customHeight="1" x14ac:dyDescent="0.25">
      <c r="A13" s="347"/>
      <c r="B13" s="119" t="s">
        <v>408</v>
      </c>
      <c r="C13" s="195"/>
      <c r="D13" s="195"/>
      <c r="E13" s="195"/>
      <c r="F13" s="334"/>
      <c r="G13" s="334"/>
      <c r="H13" s="341"/>
    </row>
    <row r="14" spans="1:8" s="57" customFormat="1" ht="14.65" customHeight="1" x14ac:dyDescent="0.25">
      <c r="A14" s="340"/>
      <c r="B14" s="195"/>
      <c r="C14" s="195"/>
      <c r="D14" s="195"/>
      <c r="E14" s="195"/>
      <c r="F14" s="334"/>
      <c r="G14" s="334"/>
      <c r="H14" s="341"/>
    </row>
    <row r="15" spans="1:8" s="57" customFormat="1" ht="14.65" customHeight="1" x14ac:dyDescent="0.25">
      <c r="A15" s="340"/>
      <c r="B15" s="342" t="s">
        <v>7</v>
      </c>
      <c r="C15" s="249">
        <v>12</v>
      </c>
      <c r="D15" s="249">
        <v>24</v>
      </c>
      <c r="E15" s="249">
        <v>36</v>
      </c>
      <c r="F15" s="334"/>
      <c r="G15" s="334"/>
      <c r="H15" s="341"/>
    </row>
    <row r="16" spans="1:8" s="57" customFormat="1" ht="14.65" customHeight="1" x14ac:dyDescent="0.25">
      <c r="A16" s="340"/>
      <c r="B16" s="342">
        <f>B17-1</f>
        <v>2021</v>
      </c>
      <c r="C16" s="343">
        <v>35000</v>
      </c>
      <c r="D16" s="343">
        <v>38000</v>
      </c>
      <c r="E16" s="343">
        <v>41000</v>
      </c>
      <c r="F16" s="334"/>
      <c r="G16" s="334"/>
      <c r="H16" s="341"/>
    </row>
    <row r="17" spans="1:40" s="57" customFormat="1" ht="14.65" customHeight="1" x14ac:dyDescent="0.25">
      <c r="A17" s="347"/>
      <c r="B17" s="342">
        <f>B18-1</f>
        <v>2022</v>
      </c>
      <c r="C17" s="343">
        <v>39000</v>
      </c>
      <c r="D17" s="343">
        <v>41000</v>
      </c>
      <c r="E17" s="345"/>
      <c r="F17" s="334"/>
      <c r="G17" s="334"/>
      <c r="H17" s="341"/>
      <c r="M17" s="336"/>
    </row>
    <row r="18" spans="1:40" s="57" customFormat="1" ht="14.65" customHeight="1" x14ac:dyDescent="0.25">
      <c r="A18" s="340"/>
      <c r="B18" s="342">
        <v>2023</v>
      </c>
      <c r="C18" s="346">
        <v>53000</v>
      </c>
      <c r="D18" s="345"/>
      <c r="E18" s="345"/>
      <c r="F18" s="334"/>
      <c r="G18" s="334"/>
      <c r="H18" s="341"/>
    </row>
    <row r="19" spans="1:40" s="57" customFormat="1" ht="14.65" customHeight="1" x14ac:dyDescent="0.25">
      <c r="A19" s="340"/>
      <c r="B19" s="195"/>
      <c r="C19" s="195"/>
      <c r="D19" s="195"/>
      <c r="E19" s="195"/>
      <c r="F19" s="334"/>
      <c r="G19" s="344"/>
      <c r="H19" s="341"/>
    </row>
    <row r="20" spans="1:40" s="262" customFormat="1" x14ac:dyDescent="0.25">
      <c r="A20" s="348"/>
      <c r="B20" s="165" t="s">
        <v>409</v>
      </c>
      <c r="C20" s="165"/>
      <c r="D20" s="165"/>
      <c r="E20" s="87"/>
      <c r="F20" s="87"/>
      <c r="G20" s="87"/>
      <c r="H20" s="335"/>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62" customFormat="1" x14ac:dyDescent="0.25">
      <c r="A21" s="348"/>
      <c r="B21" s="165"/>
      <c r="C21" s="165"/>
      <c r="D21" s="165"/>
      <c r="E21" s="87"/>
      <c r="F21" s="87"/>
      <c r="G21" s="87"/>
      <c r="H21" s="335"/>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62" customFormat="1" x14ac:dyDescent="0.25">
      <c r="A22" s="348"/>
      <c r="B22" s="167" t="s">
        <v>80</v>
      </c>
      <c r="C22" s="168"/>
      <c r="D22" s="169">
        <v>2024</v>
      </c>
      <c r="E22" s="170">
        <v>2025</v>
      </c>
      <c r="F22" s="170">
        <v>2026</v>
      </c>
      <c r="G22" s="171">
        <v>2027</v>
      </c>
      <c r="H22" s="335"/>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62" customFormat="1" x14ac:dyDescent="0.25">
      <c r="A23" s="348"/>
      <c r="B23" s="167" t="s">
        <v>269</v>
      </c>
      <c r="C23" s="168"/>
      <c r="D23" s="172">
        <v>0.4</v>
      </c>
      <c r="E23" s="173">
        <v>0.25</v>
      </c>
      <c r="F23" s="173">
        <v>0.2</v>
      </c>
      <c r="G23" s="174">
        <v>0.15</v>
      </c>
      <c r="H23" s="335"/>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62" customFormat="1" x14ac:dyDescent="0.25">
      <c r="A24" s="348"/>
      <c r="B24" s="87"/>
      <c r="C24" s="87"/>
      <c r="D24" s="87"/>
      <c r="E24" s="87"/>
      <c r="F24" s="87"/>
      <c r="G24" s="87"/>
      <c r="H24" s="335"/>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62" customFormat="1" x14ac:dyDescent="0.25">
      <c r="A25" s="348"/>
      <c r="B25" s="5" t="s">
        <v>83</v>
      </c>
      <c r="C25" s="87"/>
      <c r="D25" s="87"/>
      <c r="E25" s="87"/>
      <c r="F25" s="87"/>
      <c r="G25" s="87"/>
      <c r="H25" s="335"/>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62" customFormat="1" x14ac:dyDescent="0.25">
      <c r="A26" s="348"/>
      <c r="B26" s="5"/>
      <c r="C26" s="87"/>
      <c r="D26" s="87"/>
      <c r="E26" s="87"/>
      <c r="F26" s="87"/>
      <c r="G26" s="87"/>
      <c r="H26" s="335"/>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62" customFormat="1" x14ac:dyDescent="0.25">
      <c r="A27" s="348"/>
      <c r="B27" s="167" t="s">
        <v>108</v>
      </c>
      <c r="C27" s="168"/>
      <c r="D27" s="175">
        <v>0.5</v>
      </c>
      <c r="E27" s="176">
        <v>1.5</v>
      </c>
      <c r="F27" s="176">
        <v>2.5</v>
      </c>
      <c r="G27" s="168">
        <v>3.5</v>
      </c>
      <c r="H27" s="335"/>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62" customFormat="1" x14ac:dyDescent="0.25">
      <c r="A28" s="348"/>
      <c r="B28" s="167" t="s">
        <v>85</v>
      </c>
      <c r="C28" s="168"/>
      <c r="D28" s="177">
        <v>4.3999999999999997E-2</v>
      </c>
      <c r="E28" s="178">
        <v>4.4999999999999998E-2</v>
      </c>
      <c r="F28" s="178">
        <v>4.5999999999999999E-2</v>
      </c>
      <c r="G28" s="179">
        <v>4.8000000000000001E-2</v>
      </c>
      <c r="H28" s="335"/>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62" customFormat="1" ht="7.9" customHeight="1" x14ac:dyDescent="0.25">
      <c r="A29" s="348"/>
      <c r="B29" s="87"/>
      <c r="C29" s="87"/>
      <c r="D29" s="87"/>
      <c r="E29" s="87"/>
      <c r="F29" s="87"/>
      <c r="G29" s="87"/>
      <c r="H29" s="335"/>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 customHeight="1" x14ac:dyDescent="0.25">
      <c r="A30" s="340"/>
      <c r="B30" s="349"/>
      <c r="C30" s="350"/>
      <c r="D30" s="351"/>
      <c r="E30" s="351"/>
      <c r="F30" s="334"/>
      <c r="G30" s="334"/>
      <c r="H30" s="341"/>
    </row>
    <row r="31" spans="1:40" s="57" customFormat="1" x14ac:dyDescent="0.25">
      <c r="A31" s="340"/>
      <c r="B31" s="352" t="s">
        <v>410</v>
      </c>
      <c r="C31" s="350"/>
      <c r="D31" s="351"/>
      <c r="E31" s="351"/>
      <c r="F31" s="334"/>
      <c r="G31" s="334"/>
      <c r="H31" s="341"/>
    </row>
    <row r="32" spans="1:40" s="57" customFormat="1" x14ac:dyDescent="0.25">
      <c r="A32" s="340"/>
      <c r="B32" s="117" t="s">
        <v>411</v>
      </c>
      <c r="C32" s="350"/>
      <c r="D32" s="351"/>
      <c r="E32" s="351"/>
      <c r="F32" s="344"/>
      <c r="G32" s="344"/>
      <c r="H32" s="341"/>
    </row>
    <row r="33" spans="1:8" s="57" customFormat="1" x14ac:dyDescent="0.25">
      <c r="A33" s="340"/>
      <c r="B33" s="117" t="s">
        <v>3</v>
      </c>
      <c r="C33" s="344"/>
      <c r="D33" s="344"/>
      <c r="E33" s="344"/>
      <c r="F33" s="344"/>
      <c r="G33" s="344"/>
      <c r="H33" s="341"/>
    </row>
    <row r="34" spans="1:8" x14ac:dyDescent="0.25">
      <c r="A34" s="14"/>
      <c r="B34" s="711" t="s">
        <v>412</v>
      </c>
      <c r="C34" s="711"/>
      <c r="D34" s="711"/>
      <c r="E34" s="711"/>
      <c r="F34" s="711"/>
      <c r="G34" s="711"/>
      <c r="H34" s="712"/>
    </row>
    <row r="35" spans="1:8" x14ac:dyDescent="0.25">
      <c r="A35" s="14"/>
      <c r="B35" s="711"/>
      <c r="C35" s="711"/>
      <c r="D35" s="711"/>
      <c r="E35" s="711"/>
      <c r="F35" s="711"/>
      <c r="G35" s="711"/>
      <c r="H35" s="712"/>
    </row>
    <row r="36" spans="1:8" x14ac:dyDescent="0.25">
      <c r="A36" s="14"/>
      <c r="B36" s="117" t="s">
        <v>413</v>
      </c>
      <c r="C36" s="344"/>
      <c r="D36" s="10"/>
      <c r="E36" s="338"/>
      <c r="F36" s="338"/>
      <c r="G36" s="338"/>
      <c r="H36" s="335"/>
    </row>
    <row r="37" spans="1:8" x14ac:dyDescent="0.25">
      <c r="A37" s="117"/>
      <c r="B37" s="117"/>
      <c r="C37" s="117"/>
      <c r="D37" s="338"/>
      <c r="E37" s="13"/>
      <c r="F37" s="13"/>
      <c r="G37" s="13"/>
      <c r="H37" s="335"/>
    </row>
    <row r="38" spans="1:8" s="57" customFormat="1" ht="14.65" customHeight="1" x14ac:dyDescent="0.25">
      <c r="A38" s="117" t="s">
        <v>13</v>
      </c>
      <c r="B38" s="11" t="s">
        <v>283</v>
      </c>
      <c r="C38" s="191" t="s">
        <v>11</v>
      </c>
      <c r="D38" s="344"/>
      <c r="E38" s="344"/>
      <c r="F38" s="344"/>
      <c r="G38" s="344"/>
      <c r="H38" s="335"/>
    </row>
    <row r="39" spans="1:8" s="57" customFormat="1" ht="14.65" customHeight="1" x14ac:dyDescent="0.25">
      <c r="A39" s="340"/>
      <c r="B39" s="349"/>
      <c r="C39" s="350"/>
      <c r="D39" s="351"/>
      <c r="E39" s="351"/>
      <c r="F39" s="334"/>
      <c r="G39" s="334"/>
      <c r="H39" s="335"/>
    </row>
    <row r="40" spans="1:8" s="57" customFormat="1" ht="14.65" customHeight="1" x14ac:dyDescent="0.25">
      <c r="A40" s="352" t="s">
        <v>27</v>
      </c>
      <c r="B40" s="11" t="s">
        <v>0</v>
      </c>
      <c r="C40" s="350" t="s">
        <v>414</v>
      </c>
      <c r="D40" s="351"/>
      <c r="E40" s="351"/>
      <c r="F40" s="334"/>
      <c r="G40" s="334"/>
      <c r="H40" s="335"/>
    </row>
    <row r="41" spans="1:8" s="57" customFormat="1" ht="14.65" customHeight="1" thickBot="1" x14ac:dyDescent="0.3">
      <c r="A41" s="353"/>
      <c r="B41" s="354"/>
      <c r="C41" s="355"/>
      <c r="D41" s="356"/>
      <c r="E41" s="356"/>
      <c r="F41" s="356"/>
      <c r="G41" s="356"/>
      <c r="H41" s="357"/>
    </row>
    <row r="42" spans="1:8" s="57" customFormat="1" ht="14.65" customHeight="1" thickBot="1" x14ac:dyDescent="0.3">
      <c r="A42" s="3" t="s">
        <v>137</v>
      </c>
      <c r="B42" s="17"/>
      <c r="C42" s="4"/>
      <c r="D42" s="4"/>
      <c r="E42" s="4"/>
      <c r="F42" s="4"/>
      <c r="G42" s="4"/>
      <c r="H42" s="358"/>
    </row>
    <row r="43" spans="1:8" s="57" customFormat="1" ht="14.65" customHeight="1" x14ac:dyDescent="0.25"/>
    <row r="44" spans="1:8" s="57" customFormat="1" ht="14.65" customHeight="1" x14ac:dyDescent="0.25">
      <c r="A44" s="57" t="s">
        <v>13</v>
      </c>
      <c r="B44" s="255" t="s">
        <v>114</v>
      </c>
    </row>
    <row r="45" spans="1:8" s="262" customFormat="1" x14ac:dyDescent="0.25">
      <c r="A45" s="266"/>
      <c r="B45" s="359" t="s">
        <v>7</v>
      </c>
      <c r="C45" s="360" t="s">
        <v>415</v>
      </c>
    </row>
    <row r="46" spans="1:8" s="262" customFormat="1" x14ac:dyDescent="0.25">
      <c r="A46" s="266"/>
      <c r="B46" s="359">
        <v>2021</v>
      </c>
      <c r="C46" s="361">
        <f>E16-SUM(C9:E9)</f>
        <v>18000</v>
      </c>
    </row>
    <row r="47" spans="1:8" s="262" customFormat="1" x14ac:dyDescent="0.25">
      <c r="A47" s="266"/>
      <c r="B47" s="359">
        <v>2022</v>
      </c>
      <c r="C47" s="361">
        <f>D17-SUM(C10:D10)</f>
        <v>16000</v>
      </c>
      <c r="E47" s="268"/>
    </row>
    <row r="48" spans="1:8" s="262" customFormat="1" x14ac:dyDescent="0.25">
      <c r="A48" s="266"/>
      <c r="B48" s="359">
        <v>2023</v>
      </c>
      <c r="C48" s="361">
        <f>C18-SUM(C11)</f>
        <v>33000</v>
      </c>
    </row>
    <row r="49" spans="1:10" s="262" customFormat="1" x14ac:dyDescent="0.25">
      <c r="A49" s="362">
        <v>0.25</v>
      </c>
      <c r="B49" s="363" t="s">
        <v>96</v>
      </c>
      <c r="C49" s="364">
        <f>SUM(C46:C48)</f>
        <v>67000</v>
      </c>
    </row>
    <row r="50" spans="1:10" s="262" customFormat="1" x14ac:dyDescent="0.25">
      <c r="A50" s="362"/>
      <c r="B50" s="266"/>
    </row>
    <row r="51" spans="1:10" s="262" customFormat="1" x14ac:dyDescent="0.25">
      <c r="A51" s="362"/>
      <c r="B51" s="288" t="s">
        <v>95</v>
      </c>
      <c r="C51" s="365">
        <v>0.5</v>
      </c>
      <c r="D51" s="365">
        <f>C51+1</f>
        <v>1.5</v>
      </c>
      <c r="E51" s="365">
        <f>D51+1</f>
        <v>2.5</v>
      </c>
      <c r="F51" s="365">
        <f>E51+1</f>
        <v>3.5</v>
      </c>
      <c r="G51" s="365" t="s">
        <v>96</v>
      </c>
    </row>
    <row r="52" spans="1:10" s="262" customFormat="1" x14ac:dyDescent="0.25">
      <c r="A52" s="362"/>
      <c r="B52" s="94" t="s">
        <v>335</v>
      </c>
      <c r="C52" s="283">
        <f>D28</f>
        <v>4.3999999999999997E-2</v>
      </c>
      <c r="D52" s="283">
        <f>E28</f>
        <v>4.4999999999999998E-2</v>
      </c>
      <c r="E52" s="283">
        <f>F28</f>
        <v>4.5999999999999999E-2</v>
      </c>
      <c r="F52" s="283">
        <f>G28</f>
        <v>4.8000000000000001E-2</v>
      </c>
      <c r="H52" s="270"/>
      <c r="I52" s="270"/>
      <c r="J52" s="270"/>
    </row>
    <row r="53" spans="1:10" s="262" customFormat="1" x14ac:dyDescent="0.25">
      <c r="A53" s="362"/>
      <c r="B53" s="262" t="s">
        <v>336</v>
      </c>
      <c r="C53" s="284">
        <f>(1+C52)^-C51</f>
        <v>0.97870036585783904</v>
      </c>
      <c r="D53" s="284">
        <f>(1+D52)^-D51</f>
        <v>0.9361071541521887</v>
      </c>
      <c r="E53" s="284">
        <f>(1+E52)^-E51</f>
        <v>0.8936568500670159</v>
      </c>
      <c r="F53" s="284">
        <f>(1+F52)^-F51</f>
        <v>0.8486634738927038</v>
      </c>
      <c r="H53" s="285"/>
      <c r="I53" s="271"/>
      <c r="J53" s="271"/>
    </row>
    <row r="54" spans="1:10" s="262" customFormat="1" x14ac:dyDescent="0.25">
      <c r="A54" s="362">
        <v>0.25</v>
      </c>
      <c r="B54" s="262" t="s">
        <v>337</v>
      </c>
      <c r="C54" s="271">
        <f>$C$49*D23</f>
        <v>26800</v>
      </c>
      <c r="D54" s="271">
        <f>$C$49*E23</f>
        <v>16750</v>
      </c>
      <c r="E54" s="271">
        <f>$C$49*F23</f>
        <v>13400</v>
      </c>
      <c r="F54" s="271">
        <f>$C$49*G23</f>
        <v>10050</v>
      </c>
      <c r="G54" s="286">
        <f>SUM(C54:F54)</f>
        <v>67000</v>
      </c>
      <c r="H54" s="285"/>
      <c r="I54" s="271"/>
      <c r="J54" s="271"/>
    </row>
    <row r="55" spans="1:10" s="262" customFormat="1" x14ac:dyDescent="0.25">
      <c r="A55" s="362">
        <v>0.25</v>
      </c>
      <c r="B55" s="262" t="s">
        <v>338</v>
      </c>
      <c r="C55" s="271">
        <f>C54*C53</f>
        <v>26229.169804990088</v>
      </c>
      <c r="D55" s="271">
        <f>D54*D53</f>
        <v>15679.794832049161</v>
      </c>
      <c r="E55" s="271">
        <f>E54*E53</f>
        <v>11975.001790898013</v>
      </c>
      <c r="F55" s="271">
        <f>F54*F53</f>
        <v>8529.0679126216728</v>
      </c>
      <c r="G55" s="286">
        <f>SUM(C55:F55)</f>
        <v>62413.034340558937</v>
      </c>
      <c r="H55" s="285"/>
      <c r="I55" s="271"/>
      <c r="J55" s="271"/>
    </row>
    <row r="56" spans="1:10" s="262" customFormat="1" x14ac:dyDescent="0.25">
      <c r="A56" s="362">
        <v>0.25</v>
      </c>
      <c r="B56" s="262" t="s">
        <v>339</v>
      </c>
      <c r="C56" s="271">
        <f>C55*5%</f>
        <v>1311.4584902495044</v>
      </c>
      <c r="D56" s="271">
        <f>D55*5%</f>
        <v>783.98974160245814</v>
      </c>
      <c r="E56" s="271">
        <f>E55*5%</f>
        <v>598.75008954490067</v>
      </c>
      <c r="F56" s="271">
        <f>F55*5%</f>
        <v>426.45339563108365</v>
      </c>
      <c r="G56" s="286">
        <f>SUM(C56:F56)</f>
        <v>3120.6517170279471</v>
      </c>
      <c r="H56" s="285"/>
      <c r="I56" s="271"/>
      <c r="J56" s="271"/>
    </row>
    <row r="57" spans="1:10" s="262" customFormat="1" ht="15.75" thickBot="1" x14ac:dyDescent="0.3">
      <c r="A57" s="362"/>
      <c r="H57" s="270"/>
      <c r="I57" s="271"/>
      <c r="J57" s="271"/>
    </row>
    <row r="58" spans="1:10" s="262" customFormat="1" ht="15.75" thickBot="1" x14ac:dyDescent="0.3">
      <c r="A58" s="362">
        <v>0.25</v>
      </c>
      <c r="B58" s="94" t="s">
        <v>20</v>
      </c>
      <c r="D58" s="278">
        <f>G56+G55</f>
        <v>65533.686057586885</v>
      </c>
    </row>
    <row r="59" spans="1:10" s="262" customFormat="1" x14ac:dyDescent="0.25">
      <c r="A59" s="362"/>
    </row>
    <row r="60" spans="1:10" s="57" customFormat="1" ht="14.65" customHeight="1" x14ac:dyDescent="0.25"/>
    <row r="61" spans="1:10" s="57" customFormat="1" ht="14.65" customHeight="1" x14ac:dyDescent="0.25">
      <c r="A61" s="57" t="s">
        <v>27</v>
      </c>
      <c r="B61" s="366" t="s">
        <v>416</v>
      </c>
    </row>
    <row r="62" spans="1:10" s="57" customFormat="1" ht="14.65" customHeight="1" x14ac:dyDescent="0.25">
      <c r="A62" s="362">
        <v>0.25</v>
      </c>
      <c r="B62" s="57" t="s">
        <v>417</v>
      </c>
      <c r="E62" s="367">
        <f>(D16-SUM(C9:D9))+(C17-C10)</f>
        <v>41000</v>
      </c>
    </row>
    <row r="63" spans="1:10" s="57" customFormat="1" ht="14.65" customHeight="1" x14ac:dyDescent="0.25">
      <c r="A63" s="362">
        <v>0.25</v>
      </c>
      <c r="B63" s="57" t="s">
        <v>418</v>
      </c>
      <c r="E63" s="367">
        <f>E16-SUM(C9:E9)+D17-SUM(C10:D10)</f>
        <v>34000</v>
      </c>
      <c r="F63" s="367"/>
    </row>
    <row r="64" spans="1:10" s="57" customFormat="1" ht="14.65" customHeight="1" thickBot="1" x14ac:dyDescent="0.3">
      <c r="A64" s="362"/>
      <c r="B64" s="57" t="s">
        <v>419</v>
      </c>
      <c r="E64" s="367">
        <f>E9+D10</f>
        <v>12000</v>
      </c>
    </row>
    <row r="65" spans="1:6" s="57" customFormat="1" ht="15.75" thickBot="1" x14ac:dyDescent="0.3">
      <c r="A65" s="362">
        <v>0.25</v>
      </c>
      <c r="B65" s="57" t="s">
        <v>420</v>
      </c>
      <c r="E65" s="466">
        <f>(E62-E63-E64)</f>
        <v>-5000</v>
      </c>
    </row>
    <row r="66" spans="1:6" x14ac:dyDescent="0.25">
      <c r="A66" s="362"/>
    </row>
    <row r="67" spans="1:6" x14ac:dyDescent="0.25">
      <c r="A67" s="362"/>
      <c r="B67" s="57" t="s">
        <v>421</v>
      </c>
      <c r="C67" s="57"/>
      <c r="D67" s="57"/>
      <c r="E67" s="57"/>
      <c r="F67" s="57"/>
    </row>
    <row r="68" spans="1:6" x14ac:dyDescent="0.25">
      <c r="A68" s="362">
        <v>0.25</v>
      </c>
      <c r="B68" s="57" t="s">
        <v>422</v>
      </c>
      <c r="C68" s="57"/>
      <c r="D68" s="57"/>
      <c r="E68" s="367">
        <f>(D16-E16)</f>
        <v>-3000</v>
      </c>
    </row>
    <row r="69" spans="1:6" ht="15.75" thickBot="1" x14ac:dyDescent="0.3">
      <c r="A69" s="362">
        <v>0.25</v>
      </c>
      <c r="B69" s="57" t="s">
        <v>423</v>
      </c>
      <c r="E69" s="369">
        <f>(C17-D17)</f>
        <v>-2000</v>
      </c>
    </row>
    <row r="70" spans="1:6" ht="15.75" thickBot="1" x14ac:dyDescent="0.3">
      <c r="A70" s="362">
        <v>0.25</v>
      </c>
      <c r="B70" s="57" t="s">
        <v>420</v>
      </c>
      <c r="C70" s="57"/>
      <c r="D70" s="57"/>
      <c r="E70" s="466">
        <f>(E68+E69)</f>
        <v>-5000</v>
      </c>
    </row>
    <row r="71" spans="1:6" x14ac:dyDescent="0.25"/>
    <row r="72" spans="1:6" x14ac:dyDescent="0.25">
      <c r="B72" s="57"/>
    </row>
    <row r="73" spans="1:6" x14ac:dyDescent="0.25"/>
    <row r="74" spans="1:6" x14ac:dyDescent="0.25"/>
    <row r="75" spans="1:6" x14ac:dyDescent="0.25"/>
    <row r="76" spans="1:6" x14ac:dyDescent="0.25"/>
    <row r="77" spans="1:6" x14ac:dyDescent="0.25"/>
    <row r="78" spans="1:6" x14ac:dyDescent="0.25"/>
    <row r="79" spans="1:6" x14ac:dyDescent="0.25"/>
    <row r="80" spans="1:6"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sheetProtection formatCells="0" formatColumns="0" formatRows="0" insertHyperlinks="0" sort="0" autoFilter="0" pivotTables="0"/>
  <mergeCells count="1">
    <mergeCell ref="B34:H35"/>
  </mergeCells>
  <conditionalFormatting sqref="B61">
    <cfRule type="expression" dxfId="69" priority="1">
      <formula>CELL("protect",B61)=1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Z104"/>
  <sheetViews>
    <sheetView topLeftCell="A22" zoomScale="70" zoomScaleNormal="70" workbookViewId="0">
      <selection activeCell="G38" sqref="G38:H38"/>
    </sheetView>
  </sheetViews>
  <sheetFormatPr defaultColWidth="8.85546875" defaultRowHeight="15" x14ac:dyDescent="0.25"/>
  <cols>
    <col min="1" max="1" width="8.85546875" style="95"/>
    <col min="2" max="2" width="11.140625" style="95" customWidth="1"/>
    <col min="3" max="3" width="15.140625" style="95" customWidth="1"/>
    <col min="4" max="4" width="9.140625" style="95" customWidth="1"/>
    <col min="5" max="22" width="8.85546875" style="95"/>
    <col min="23" max="23" width="14.28515625" style="95" customWidth="1"/>
    <col min="24" max="29" width="8.85546875" style="95"/>
    <col min="30" max="30" width="12.140625" style="95" customWidth="1"/>
    <col min="31" max="16384" width="8.85546875" style="95"/>
  </cols>
  <sheetData>
    <row r="1" spans="1:24" x14ac:dyDescent="0.25">
      <c r="A1" s="370"/>
      <c r="B1" s="371" t="s">
        <v>424</v>
      </c>
      <c r="C1" s="371"/>
      <c r="D1" s="371"/>
      <c r="E1" s="371"/>
      <c r="F1" s="371"/>
      <c r="G1" s="371"/>
      <c r="H1" s="371"/>
      <c r="I1" s="371"/>
      <c r="J1" s="371"/>
      <c r="K1" s="371"/>
      <c r="L1" s="371"/>
      <c r="M1" s="371"/>
      <c r="N1" s="371"/>
      <c r="O1" s="371"/>
      <c r="P1" s="371"/>
      <c r="Q1" s="371"/>
      <c r="R1" s="371"/>
      <c r="S1" s="371"/>
      <c r="T1" s="371"/>
      <c r="U1" s="371"/>
      <c r="V1" s="372"/>
    </row>
    <row r="2" spans="1:24" x14ac:dyDescent="0.25">
      <c r="A2" s="373"/>
      <c r="B2" s="87"/>
      <c r="C2" s="87"/>
      <c r="D2" s="87"/>
      <c r="E2" s="87"/>
      <c r="F2" s="87"/>
      <c r="G2" s="87"/>
      <c r="H2" s="87"/>
      <c r="I2" s="87"/>
      <c r="J2" s="87"/>
      <c r="K2" s="87"/>
      <c r="L2" s="87"/>
      <c r="M2" s="87"/>
      <c r="N2" s="87"/>
      <c r="O2" s="87"/>
      <c r="P2" s="87"/>
      <c r="Q2" s="87"/>
      <c r="R2" s="87"/>
      <c r="S2" s="87"/>
      <c r="T2" s="87"/>
      <c r="U2" s="87"/>
      <c r="V2" s="164"/>
    </row>
    <row r="3" spans="1:24" x14ac:dyDescent="0.25">
      <c r="A3" s="374"/>
      <c r="B3" s="5" t="s">
        <v>425</v>
      </c>
      <c r="C3" s="87"/>
      <c r="D3" s="87"/>
      <c r="E3" s="87"/>
      <c r="F3" s="87"/>
      <c r="G3" s="87"/>
      <c r="H3" s="87"/>
      <c r="I3" s="87"/>
      <c r="J3" s="87"/>
      <c r="K3" s="87"/>
      <c r="L3" s="87"/>
      <c r="M3" s="87"/>
      <c r="N3" s="87"/>
      <c r="O3" s="87"/>
      <c r="P3" s="87"/>
      <c r="Q3" s="87"/>
      <c r="R3" s="87"/>
      <c r="S3" s="87"/>
      <c r="T3" s="87"/>
      <c r="U3" s="87"/>
      <c r="V3" s="164"/>
    </row>
    <row r="4" spans="1:24" x14ac:dyDescent="0.25">
      <c r="A4" s="374"/>
      <c r="B4" s="5"/>
      <c r="C4" s="87"/>
      <c r="D4" s="87"/>
      <c r="E4" s="87"/>
      <c r="F4" s="87"/>
      <c r="G4" s="87"/>
      <c r="H4" s="87"/>
      <c r="I4" s="87"/>
      <c r="J4" s="87"/>
      <c r="K4" s="87"/>
      <c r="L4" s="87"/>
      <c r="M4" s="87"/>
      <c r="N4" s="87"/>
      <c r="O4" s="87"/>
      <c r="P4" s="87"/>
      <c r="Q4" s="87"/>
      <c r="R4" s="87"/>
      <c r="S4" s="87"/>
      <c r="T4" s="87"/>
      <c r="U4" s="87"/>
      <c r="V4" s="164"/>
    </row>
    <row r="5" spans="1:24" x14ac:dyDescent="0.25">
      <c r="A5" s="374"/>
      <c r="B5" s="5" t="s">
        <v>426</v>
      </c>
      <c r="C5" s="87"/>
      <c r="D5" s="87"/>
      <c r="E5" s="87"/>
      <c r="F5" s="87"/>
      <c r="G5" s="87"/>
      <c r="H5" s="87"/>
      <c r="I5" s="263"/>
      <c r="J5" s="87"/>
      <c r="K5" s="87"/>
      <c r="L5" s="87"/>
      <c r="M5" s="87"/>
      <c r="N5" s="87"/>
      <c r="O5" s="87"/>
      <c r="P5" s="87"/>
      <c r="Q5" s="87"/>
      <c r="R5" s="87"/>
      <c r="S5" s="87"/>
      <c r="T5" s="87"/>
      <c r="U5" s="87"/>
      <c r="V5" s="164"/>
      <c r="X5" s="441"/>
    </row>
    <row r="6" spans="1:24" x14ac:dyDescent="0.25">
      <c r="A6" s="374"/>
      <c r="B6" s="5" t="s">
        <v>427</v>
      </c>
      <c r="C6" s="87"/>
      <c r="D6" s="87"/>
      <c r="E6" s="87"/>
      <c r="F6" s="87"/>
      <c r="G6" s="87"/>
      <c r="H6" s="87"/>
      <c r="I6" s="87"/>
      <c r="J6" s="87"/>
      <c r="K6" s="87"/>
      <c r="L6" s="87"/>
      <c r="M6" s="87"/>
      <c r="N6" s="87"/>
      <c r="O6" s="87"/>
      <c r="P6" s="87"/>
      <c r="Q6" s="87"/>
      <c r="R6" s="87"/>
      <c r="S6" s="87"/>
      <c r="T6" s="87"/>
      <c r="U6" s="87"/>
      <c r="V6" s="164"/>
    </row>
    <row r="7" spans="1:24" x14ac:dyDescent="0.25">
      <c r="A7" s="374"/>
      <c r="B7" s="5" t="s">
        <v>428</v>
      </c>
      <c r="C7" s="87"/>
      <c r="D7" s="87"/>
      <c r="E7" s="87"/>
      <c r="F7" s="87"/>
      <c r="G7" s="87"/>
      <c r="H7" s="87"/>
      <c r="I7" s="87"/>
      <c r="J7" s="87"/>
      <c r="K7" s="87"/>
      <c r="L7" s="87"/>
      <c r="M7" s="87"/>
      <c r="N7" s="87"/>
      <c r="O7" s="87"/>
      <c r="P7" s="87"/>
      <c r="Q7" s="87"/>
      <c r="R7" s="87"/>
      <c r="S7" s="87"/>
      <c r="T7" s="87"/>
      <c r="U7" s="87"/>
      <c r="V7" s="164"/>
    </row>
    <row r="8" spans="1:24" x14ac:dyDescent="0.25">
      <c r="A8" s="374"/>
      <c r="B8" s="5" t="s">
        <v>429</v>
      </c>
      <c r="C8" s="87"/>
      <c r="D8" s="87"/>
      <c r="E8" s="87"/>
      <c r="F8" s="87"/>
      <c r="G8" s="87"/>
      <c r="H8" s="87"/>
      <c r="I8" s="87"/>
      <c r="J8" s="87"/>
      <c r="K8" s="87"/>
      <c r="L8" s="87"/>
      <c r="M8" s="87"/>
      <c r="N8" s="87"/>
      <c r="O8" s="87"/>
      <c r="P8" s="87"/>
      <c r="Q8" s="87"/>
      <c r="R8" s="264"/>
      <c r="S8" s="87"/>
      <c r="T8" s="87"/>
      <c r="U8" s="87"/>
      <c r="V8" s="164"/>
    </row>
    <row r="9" spans="1:24" x14ac:dyDescent="0.25">
      <c r="A9" s="374"/>
      <c r="B9" s="5" t="s">
        <v>430</v>
      </c>
      <c r="C9" s="87"/>
      <c r="D9" s="87"/>
      <c r="E9" s="87"/>
      <c r="F9" s="87"/>
      <c r="G9" s="87"/>
      <c r="H9" s="87"/>
      <c r="I9" s="87"/>
      <c r="J9" s="87"/>
      <c r="K9" s="87"/>
      <c r="L9" s="87"/>
      <c r="M9" s="87"/>
      <c r="N9" s="87"/>
      <c r="O9" s="87"/>
      <c r="P9" s="87"/>
      <c r="Q9" s="87"/>
      <c r="R9" s="87"/>
      <c r="S9" s="87"/>
      <c r="T9" s="87"/>
      <c r="U9" s="87"/>
      <c r="V9" s="164"/>
    </row>
    <row r="10" spans="1:24" x14ac:dyDescent="0.25">
      <c r="A10" s="374"/>
      <c r="B10" s="87"/>
      <c r="C10" s="87"/>
      <c r="D10" s="87"/>
      <c r="E10" s="87"/>
      <c r="F10" s="87"/>
      <c r="G10" s="87"/>
      <c r="H10" s="87"/>
      <c r="I10" s="87"/>
      <c r="J10" s="87"/>
      <c r="K10" s="87"/>
      <c r="L10" s="87"/>
      <c r="M10" s="87"/>
      <c r="N10" s="87"/>
      <c r="O10" s="87"/>
      <c r="P10" s="87"/>
      <c r="Q10" s="87"/>
      <c r="R10" s="87"/>
      <c r="S10" s="87"/>
      <c r="T10" s="87"/>
      <c r="U10" s="87"/>
      <c r="V10" s="164"/>
    </row>
    <row r="11" spans="1:24" x14ac:dyDescent="0.25">
      <c r="A11" s="374"/>
      <c r="B11" s="5" t="s">
        <v>431</v>
      </c>
      <c r="C11" s="87"/>
      <c r="D11" s="87"/>
      <c r="E11" s="87"/>
      <c r="F11" s="87"/>
      <c r="G11" s="87"/>
      <c r="H11" s="87"/>
      <c r="I11" s="87"/>
      <c r="J11" s="87"/>
      <c r="K11" s="87"/>
      <c r="L11" s="87"/>
      <c r="M11" s="87"/>
      <c r="N11" s="87"/>
      <c r="O11" s="87"/>
      <c r="P11" s="87"/>
      <c r="Q11" s="87"/>
      <c r="R11" s="87"/>
      <c r="S11" s="87"/>
      <c r="T11" s="87"/>
      <c r="U11" s="87"/>
      <c r="V11" s="164"/>
    </row>
    <row r="12" spans="1:24" x14ac:dyDescent="0.25">
      <c r="A12" s="374"/>
      <c r="B12" s="5" t="s">
        <v>432</v>
      </c>
      <c r="C12" s="87"/>
      <c r="D12" s="87"/>
      <c r="E12" s="87"/>
      <c r="F12" s="87"/>
      <c r="G12" s="87"/>
      <c r="H12" s="87"/>
      <c r="I12" s="87"/>
      <c r="J12" s="87"/>
      <c r="K12" s="87"/>
      <c r="L12" s="87"/>
      <c r="M12" s="87"/>
      <c r="N12" s="87"/>
      <c r="O12" s="87"/>
      <c r="P12" s="87"/>
      <c r="Q12" s="87"/>
      <c r="R12" s="87"/>
      <c r="S12" s="87"/>
      <c r="T12" s="87"/>
      <c r="U12" s="87"/>
      <c r="V12" s="164"/>
    </row>
    <row r="13" spans="1:24" x14ac:dyDescent="0.25">
      <c r="A13" s="374"/>
      <c r="B13" s="375" t="s">
        <v>433</v>
      </c>
      <c r="C13" s="87"/>
      <c r="D13" s="87"/>
      <c r="E13" s="87"/>
      <c r="F13" s="87"/>
      <c r="G13" s="87"/>
      <c r="H13" s="87"/>
      <c r="I13" s="5"/>
      <c r="J13" s="87"/>
      <c r="K13" s="87"/>
      <c r="L13" s="87"/>
      <c r="M13" s="87"/>
      <c r="N13" s="87"/>
      <c r="O13" s="87"/>
      <c r="P13" s="87"/>
      <c r="Q13" s="87"/>
      <c r="R13" s="87"/>
      <c r="S13" s="87"/>
      <c r="T13" s="87"/>
      <c r="U13" s="87"/>
      <c r="V13" s="164"/>
    </row>
    <row r="14" spans="1:24" x14ac:dyDescent="0.25">
      <c r="A14" s="374"/>
      <c r="B14" s="375" t="s">
        <v>434</v>
      </c>
      <c r="C14" s="87"/>
      <c r="D14" s="87"/>
      <c r="E14" s="87"/>
      <c r="F14" s="87"/>
      <c r="G14" s="87"/>
      <c r="H14" s="87"/>
      <c r="I14" s="87"/>
      <c r="J14" s="87"/>
      <c r="K14" s="87"/>
      <c r="L14" s="87"/>
      <c r="M14" s="87"/>
      <c r="N14" s="87"/>
      <c r="O14" s="87"/>
      <c r="P14" s="87"/>
      <c r="Q14" s="87"/>
      <c r="R14" s="87"/>
      <c r="S14" s="87"/>
      <c r="T14" s="87"/>
      <c r="U14" s="87"/>
      <c r="V14" s="164"/>
    </row>
    <row r="15" spans="1:24" x14ac:dyDescent="0.25">
      <c r="A15" s="374"/>
      <c r="B15" s="87"/>
      <c r="C15" s="87"/>
      <c r="D15" s="87"/>
      <c r="E15" s="87"/>
      <c r="F15" s="87"/>
      <c r="G15" s="87"/>
      <c r="H15" s="87"/>
      <c r="I15" s="87"/>
      <c r="J15" s="87"/>
      <c r="K15" s="87"/>
      <c r="L15" s="87"/>
      <c r="M15" s="87"/>
      <c r="N15" s="87"/>
      <c r="O15" s="87"/>
      <c r="P15" s="87"/>
      <c r="Q15" s="87"/>
      <c r="R15" s="87"/>
      <c r="S15" s="87"/>
      <c r="T15" s="87"/>
      <c r="U15" s="87"/>
      <c r="V15" s="164"/>
    </row>
    <row r="16" spans="1:24" x14ac:dyDescent="0.25">
      <c r="A16" s="374"/>
      <c r="B16" s="5" t="s">
        <v>435</v>
      </c>
      <c r="C16" s="165"/>
      <c r="D16" s="165"/>
      <c r="E16" s="165"/>
      <c r="F16" s="165"/>
      <c r="G16" s="87"/>
      <c r="H16" s="87"/>
      <c r="I16" s="165"/>
      <c r="J16" s="165"/>
      <c r="K16" s="165"/>
      <c r="L16" s="165"/>
      <c r="M16" s="87"/>
      <c r="N16" s="87"/>
      <c r="O16" s="165"/>
      <c r="P16" s="165"/>
      <c r="Q16" s="165"/>
      <c r="R16" s="165"/>
      <c r="S16" s="87"/>
      <c r="T16" s="87"/>
      <c r="U16" s="87"/>
      <c r="V16" s="164"/>
    </row>
    <row r="17" spans="1:22" x14ac:dyDescent="0.25">
      <c r="A17" s="374"/>
      <c r="B17" s="87"/>
      <c r="C17" s="87"/>
      <c r="D17" s="87"/>
      <c r="E17" s="165"/>
      <c r="F17" s="165"/>
      <c r="G17" s="87"/>
      <c r="H17" s="165"/>
      <c r="I17" s="165"/>
      <c r="J17" s="165"/>
      <c r="K17" s="165"/>
      <c r="L17" s="165"/>
      <c r="M17" s="87"/>
      <c r="N17" s="165"/>
      <c r="O17" s="165"/>
      <c r="P17" s="165"/>
      <c r="Q17" s="165"/>
      <c r="R17" s="165"/>
      <c r="S17" s="87"/>
      <c r="T17" s="87"/>
      <c r="U17" s="87"/>
      <c r="V17" s="164"/>
    </row>
    <row r="18" spans="1:22" x14ac:dyDescent="0.25">
      <c r="A18" s="374"/>
      <c r="B18" s="166" t="s">
        <v>436</v>
      </c>
      <c r="C18" s="717" t="s">
        <v>437</v>
      </c>
      <c r="D18" s="717"/>
      <c r="E18" s="87"/>
      <c r="F18" s="87"/>
      <c r="G18" s="87"/>
      <c r="H18" s="87"/>
      <c r="I18" s="87"/>
      <c r="J18" s="87"/>
      <c r="K18" s="87"/>
      <c r="L18" s="87"/>
      <c r="M18" s="87"/>
      <c r="N18" s="87"/>
      <c r="O18" s="87"/>
      <c r="P18" s="87"/>
      <c r="Q18" s="87"/>
      <c r="R18" s="87"/>
      <c r="S18" s="87"/>
      <c r="T18" s="87"/>
      <c r="U18" s="87"/>
      <c r="V18" s="164"/>
    </row>
    <row r="19" spans="1:22" x14ac:dyDescent="0.25">
      <c r="A19" s="374"/>
      <c r="B19" s="166" t="s">
        <v>276</v>
      </c>
      <c r="C19" s="716">
        <v>0.75</v>
      </c>
      <c r="D19" s="717"/>
      <c r="E19" s="704"/>
      <c r="F19" s="704"/>
      <c r="G19" s="87"/>
      <c r="H19" s="87"/>
      <c r="I19" s="704"/>
      <c r="J19" s="704"/>
      <c r="K19" s="704"/>
      <c r="L19" s="704"/>
      <c r="M19" s="87"/>
      <c r="N19" s="87"/>
      <c r="O19" s="704"/>
      <c r="P19" s="704"/>
      <c r="Q19" s="704"/>
      <c r="R19" s="704"/>
      <c r="S19" s="87"/>
      <c r="T19" s="87"/>
      <c r="U19" s="87"/>
      <c r="V19" s="164"/>
    </row>
    <row r="20" spans="1:22" x14ac:dyDescent="0.25">
      <c r="A20" s="374"/>
      <c r="B20" s="166" t="s">
        <v>278</v>
      </c>
      <c r="C20" s="716">
        <v>0.92</v>
      </c>
      <c r="D20" s="717"/>
      <c r="E20" s="87"/>
      <c r="F20" s="87"/>
      <c r="G20" s="87"/>
      <c r="H20" s="87"/>
      <c r="I20" s="87"/>
      <c r="J20" s="87"/>
      <c r="K20" s="87"/>
      <c r="L20" s="87"/>
      <c r="M20" s="87"/>
      <c r="N20" s="87"/>
      <c r="O20" s="87"/>
      <c r="P20" s="87"/>
      <c r="Q20" s="87"/>
      <c r="R20" s="87"/>
      <c r="S20" s="87"/>
      <c r="T20" s="87"/>
      <c r="U20" s="87"/>
      <c r="V20" s="164"/>
    </row>
    <row r="21" spans="1:22" x14ac:dyDescent="0.25">
      <c r="A21" s="374"/>
      <c r="B21" s="166" t="s">
        <v>280</v>
      </c>
      <c r="C21" s="716">
        <v>0.88</v>
      </c>
      <c r="D21" s="717"/>
      <c r="E21" s="376"/>
      <c r="F21" s="376"/>
      <c r="G21" s="87"/>
      <c r="H21" s="87"/>
      <c r="I21" s="376"/>
      <c r="J21" s="376"/>
      <c r="K21" s="376"/>
      <c r="L21" s="376"/>
      <c r="M21" s="87"/>
      <c r="N21" s="87"/>
      <c r="O21" s="376"/>
      <c r="P21" s="376"/>
      <c r="Q21" s="376"/>
      <c r="R21" s="376"/>
      <c r="S21" s="87"/>
      <c r="T21" s="87"/>
      <c r="U21" s="87"/>
      <c r="V21" s="164"/>
    </row>
    <row r="22" spans="1:22" x14ac:dyDescent="0.25">
      <c r="A22" s="374"/>
      <c r="B22" s="166" t="s">
        <v>281</v>
      </c>
      <c r="C22" s="716">
        <v>1.1499999999999999</v>
      </c>
      <c r="D22" s="717"/>
      <c r="E22" s="376"/>
      <c r="F22" s="376"/>
      <c r="G22" s="87"/>
      <c r="H22" s="87"/>
      <c r="I22" s="376"/>
      <c r="J22" s="376"/>
      <c r="K22" s="376"/>
      <c r="L22" s="376"/>
      <c r="M22" s="87"/>
      <c r="N22" s="87"/>
      <c r="O22" s="376"/>
      <c r="P22" s="376"/>
      <c r="Q22" s="376"/>
      <c r="R22" s="376"/>
      <c r="S22" s="87"/>
      <c r="T22" s="87"/>
      <c r="U22" s="87"/>
      <c r="V22" s="164"/>
    </row>
    <row r="23" spans="1:22" x14ac:dyDescent="0.25">
      <c r="A23" s="374"/>
      <c r="B23" s="166" t="s">
        <v>438</v>
      </c>
      <c r="C23" s="718">
        <v>0.8</v>
      </c>
      <c r="D23" s="718"/>
      <c r="E23" s="376"/>
      <c r="F23" s="376"/>
      <c r="G23" s="87"/>
      <c r="H23" s="87"/>
      <c r="I23" s="376"/>
      <c r="J23" s="376"/>
      <c r="K23" s="376"/>
      <c r="L23" s="376"/>
      <c r="M23" s="87"/>
      <c r="N23" s="87"/>
      <c r="O23" s="376"/>
      <c r="P23" s="376"/>
      <c r="Q23" s="376"/>
      <c r="R23" s="376"/>
      <c r="S23" s="87"/>
      <c r="T23" s="87"/>
      <c r="U23" s="87"/>
      <c r="V23" s="164"/>
    </row>
    <row r="24" spans="1:22" x14ac:dyDescent="0.25">
      <c r="A24" s="377"/>
      <c r="B24" s="376"/>
      <c r="C24" s="376"/>
      <c r="D24" s="376"/>
      <c r="E24" s="376"/>
      <c r="F24" s="376"/>
      <c r="G24" s="87"/>
      <c r="H24" s="87"/>
      <c r="I24" s="376"/>
      <c r="J24" s="376"/>
      <c r="K24" s="376"/>
      <c r="L24" s="376"/>
      <c r="M24" s="87"/>
      <c r="N24" s="87"/>
      <c r="O24" s="376"/>
      <c r="P24" s="376"/>
      <c r="Q24" s="376"/>
      <c r="R24" s="376"/>
      <c r="S24" s="87"/>
      <c r="T24" s="87"/>
      <c r="U24" s="87"/>
      <c r="V24" s="164"/>
    </row>
    <row r="25" spans="1:22" x14ac:dyDescent="0.25">
      <c r="A25" s="378" t="s">
        <v>13</v>
      </c>
      <c r="B25" s="379" t="s">
        <v>25</v>
      </c>
      <c r="C25" s="379" t="s">
        <v>439</v>
      </c>
      <c r="D25" s="376"/>
      <c r="E25" s="376"/>
      <c r="F25" s="376"/>
      <c r="G25" s="87"/>
      <c r="H25" s="87"/>
      <c r="I25" s="376"/>
      <c r="J25" s="376"/>
      <c r="K25" s="376"/>
      <c r="L25" s="376"/>
      <c r="M25" s="87"/>
      <c r="N25" s="87"/>
      <c r="O25" s="376"/>
      <c r="P25" s="376"/>
      <c r="Q25" s="376"/>
      <c r="R25" s="376"/>
      <c r="S25" s="87"/>
      <c r="T25" s="87"/>
      <c r="U25" s="87"/>
      <c r="V25" s="164"/>
    </row>
    <row r="26" spans="1:22" x14ac:dyDescent="0.25">
      <c r="A26" s="374"/>
      <c r="B26" s="87"/>
      <c r="C26" s="376"/>
      <c r="D26" s="376"/>
      <c r="E26" s="376"/>
      <c r="F26" s="376"/>
      <c r="G26" s="87"/>
      <c r="H26" s="87"/>
      <c r="I26" s="376"/>
      <c r="J26" s="376"/>
      <c r="K26" s="376"/>
      <c r="L26" s="376"/>
      <c r="M26" s="87"/>
      <c r="N26" s="87"/>
      <c r="O26" s="376"/>
      <c r="P26" s="376"/>
      <c r="Q26" s="376"/>
      <c r="R26" s="376"/>
      <c r="S26" s="87"/>
      <c r="T26" s="87"/>
      <c r="U26" s="87"/>
      <c r="V26" s="164"/>
    </row>
    <row r="27" spans="1:22" x14ac:dyDescent="0.25">
      <c r="A27" s="378" t="s">
        <v>27</v>
      </c>
      <c r="B27" s="5" t="s">
        <v>73</v>
      </c>
      <c r="C27" s="5" t="s">
        <v>440</v>
      </c>
      <c r="D27" s="376"/>
      <c r="E27" s="376"/>
      <c r="F27" s="376"/>
      <c r="G27" s="87"/>
      <c r="H27" s="87"/>
      <c r="I27" s="376"/>
      <c r="J27" s="376"/>
      <c r="K27" s="376"/>
      <c r="L27" s="376"/>
      <c r="M27" s="87"/>
      <c r="N27" s="87"/>
      <c r="O27" s="376"/>
      <c r="P27" s="376"/>
      <c r="Q27" s="376"/>
      <c r="R27" s="376"/>
      <c r="S27" s="87"/>
      <c r="T27" s="87"/>
      <c r="U27" s="87"/>
      <c r="V27" s="164"/>
    </row>
    <row r="28" spans="1:22" x14ac:dyDescent="0.25">
      <c r="A28" s="374"/>
      <c r="B28" s="379"/>
      <c r="C28" s="5" t="s">
        <v>441</v>
      </c>
      <c r="D28" s="376"/>
      <c r="E28" s="376"/>
      <c r="F28" s="376"/>
      <c r="G28" s="87"/>
      <c r="H28" s="87"/>
      <c r="I28" s="376"/>
      <c r="J28" s="376"/>
      <c r="K28" s="376"/>
      <c r="L28" s="376"/>
      <c r="M28" s="87"/>
      <c r="N28" s="87"/>
      <c r="O28" s="376"/>
      <c r="P28" s="376"/>
      <c r="Q28" s="376"/>
      <c r="R28" s="376"/>
      <c r="S28" s="87"/>
      <c r="T28" s="87"/>
      <c r="U28" s="87"/>
      <c r="V28" s="164"/>
    </row>
    <row r="29" spans="1:22" x14ac:dyDescent="0.25">
      <c r="A29" s="374"/>
      <c r="B29" s="87"/>
      <c r="C29" s="87"/>
      <c r="D29" s="87"/>
      <c r="E29" s="87"/>
      <c r="F29" s="87"/>
      <c r="G29" s="87"/>
      <c r="H29" s="87"/>
      <c r="I29" s="87"/>
      <c r="J29" s="87"/>
      <c r="K29" s="87"/>
      <c r="L29" s="87"/>
      <c r="M29" s="87"/>
      <c r="N29" s="87"/>
      <c r="O29" s="87"/>
      <c r="P29" s="87"/>
      <c r="Q29" s="87"/>
      <c r="R29" s="87"/>
      <c r="S29" s="87"/>
      <c r="T29" s="87"/>
      <c r="U29" s="87"/>
      <c r="V29" s="164"/>
    </row>
    <row r="30" spans="1:22" x14ac:dyDescent="0.25">
      <c r="A30" s="378" t="s">
        <v>133</v>
      </c>
      <c r="B30" s="5" t="s">
        <v>0</v>
      </c>
      <c r="C30" s="5" t="s">
        <v>442</v>
      </c>
      <c r="D30" s="87"/>
      <c r="E30" s="87"/>
      <c r="F30" s="87"/>
      <c r="G30" s="87"/>
      <c r="H30" s="87"/>
      <c r="I30" s="87"/>
      <c r="J30" s="87"/>
      <c r="K30" s="87"/>
      <c r="L30" s="87"/>
      <c r="M30" s="87"/>
      <c r="N30" s="87"/>
      <c r="O30" s="87"/>
      <c r="P30" s="87"/>
      <c r="Q30" s="87"/>
      <c r="R30" s="87"/>
      <c r="S30" s="87"/>
      <c r="T30" s="87"/>
      <c r="U30" s="87"/>
      <c r="V30" s="164"/>
    </row>
    <row r="31" spans="1:22" x14ac:dyDescent="0.25">
      <c r="A31" s="374"/>
      <c r="B31" s="379"/>
      <c r="C31" s="5" t="s">
        <v>443</v>
      </c>
      <c r="D31" s="87"/>
      <c r="E31" s="87"/>
      <c r="F31" s="376"/>
      <c r="G31" s="87"/>
      <c r="H31" s="5"/>
      <c r="I31" s="87"/>
      <c r="J31" s="87"/>
      <c r="K31" s="87"/>
      <c r="L31" s="376"/>
      <c r="M31" s="87"/>
      <c r="N31" s="5"/>
      <c r="O31" s="87"/>
      <c r="P31" s="87"/>
      <c r="Q31" s="87"/>
      <c r="R31" s="376"/>
      <c r="S31" s="87"/>
      <c r="T31" s="87"/>
      <c r="U31" s="87"/>
      <c r="V31" s="164"/>
    </row>
    <row r="32" spans="1:22" x14ac:dyDescent="0.25">
      <c r="A32" s="374"/>
      <c r="B32" s="379"/>
      <c r="C32" s="5"/>
      <c r="D32" s="87"/>
      <c r="E32" s="87"/>
      <c r="F32" s="376"/>
      <c r="G32" s="87"/>
      <c r="H32" s="5"/>
      <c r="I32" s="87"/>
      <c r="J32" s="87"/>
      <c r="K32" s="87"/>
      <c r="L32" s="376"/>
      <c r="M32" s="87"/>
      <c r="N32" s="5"/>
      <c r="O32" s="87"/>
      <c r="P32" s="87"/>
      <c r="Q32" s="87"/>
      <c r="R32" s="376"/>
      <c r="S32" s="87"/>
      <c r="T32" s="87"/>
      <c r="U32" s="87"/>
      <c r="V32" s="164"/>
    </row>
    <row r="33" spans="1:22" x14ac:dyDescent="0.25">
      <c r="A33" s="378" t="s">
        <v>265</v>
      </c>
      <c r="B33" s="5" t="s">
        <v>87</v>
      </c>
      <c r="C33" s="5" t="s">
        <v>444</v>
      </c>
      <c r="D33" s="87"/>
      <c r="E33" s="87"/>
      <c r="F33" s="87"/>
      <c r="G33" s="87"/>
      <c r="H33" s="87"/>
      <c r="I33" s="87"/>
      <c r="J33" s="87"/>
      <c r="K33" s="87"/>
      <c r="L33" s="87"/>
      <c r="M33" s="87"/>
      <c r="N33" s="87"/>
      <c r="O33" s="87"/>
      <c r="P33" s="87"/>
      <c r="Q33" s="87"/>
      <c r="R33" s="87"/>
      <c r="S33" s="379"/>
      <c r="T33" s="379"/>
      <c r="U33" s="379"/>
      <c r="V33" s="380"/>
    </row>
    <row r="34" spans="1:22" x14ac:dyDescent="0.25">
      <c r="A34" s="374"/>
      <c r="B34" s="5"/>
      <c r="C34" s="87"/>
      <c r="D34" s="87"/>
      <c r="E34" s="87"/>
      <c r="F34" s="87"/>
      <c r="G34" s="87"/>
      <c r="H34" s="87"/>
      <c r="I34" s="87"/>
      <c r="J34" s="87"/>
      <c r="K34" s="87"/>
      <c r="L34" s="87"/>
      <c r="M34" s="87"/>
      <c r="N34" s="87"/>
      <c r="O34" s="87"/>
      <c r="P34" s="87"/>
      <c r="Q34" s="87"/>
      <c r="R34" s="87"/>
      <c r="S34" s="87"/>
      <c r="T34" s="87"/>
      <c r="U34" s="87"/>
      <c r="V34" s="164"/>
    </row>
    <row r="35" spans="1:22" x14ac:dyDescent="0.25">
      <c r="A35" s="374"/>
      <c r="B35" s="5"/>
      <c r="C35" s="381"/>
      <c r="D35" s="381"/>
      <c r="E35" s="719" t="s">
        <v>445</v>
      </c>
      <c r="F35" s="720"/>
      <c r="G35" s="719" t="s">
        <v>446</v>
      </c>
      <c r="H35" s="720"/>
      <c r="I35" s="87"/>
      <c r="J35" s="87"/>
      <c r="K35" s="87"/>
      <c r="L35" s="87"/>
      <c r="M35" s="87"/>
      <c r="N35" s="87"/>
      <c r="O35" s="87"/>
      <c r="P35" s="379"/>
      <c r="Q35" s="379"/>
      <c r="R35" s="379"/>
      <c r="S35" s="87"/>
      <c r="T35" s="87"/>
      <c r="U35" s="87"/>
      <c r="V35" s="164"/>
    </row>
    <row r="36" spans="1:22" x14ac:dyDescent="0.25">
      <c r="A36" s="374"/>
      <c r="B36" s="5"/>
      <c r="C36" s="713" t="s">
        <v>447</v>
      </c>
      <c r="D36" s="713"/>
      <c r="E36" s="714">
        <v>579700</v>
      </c>
      <c r="F36" s="715"/>
      <c r="G36" s="714">
        <v>962300</v>
      </c>
      <c r="H36" s="715"/>
      <c r="I36" s="87"/>
      <c r="J36" s="87"/>
      <c r="K36" s="87"/>
      <c r="L36" s="87"/>
      <c r="M36" s="87"/>
      <c r="N36" s="87"/>
      <c r="O36" s="87"/>
      <c r="P36" s="379"/>
      <c r="Q36" s="379"/>
      <c r="R36" s="379"/>
      <c r="S36" s="87"/>
      <c r="T36" s="87"/>
      <c r="U36" s="87"/>
      <c r="V36" s="164"/>
    </row>
    <row r="37" spans="1:22" x14ac:dyDescent="0.25">
      <c r="A37" s="374"/>
      <c r="B37" s="5"/>
      <c r="C37" s="713" t="s">
        <v>448</v>
      </c>
      <c r="D37" s="713"/>
      <c r="E37" s="714">
        <v>463800</v>
      </c>
      <c r="F37" s="715"/>
      <c r="G37" s="714">
        <v>579800</v>
      </c>
      <c r="H37" s="715"/>
      <c r="I37" s="87"/>
      <c r="J37" s="87"/>
      <c r="K37" s="87"/>
      <c r="L37" s="87"/>
      <c r="M37" s="87"/>
      <c r="N37" s="87"/>
      <c r="O37" s="87"/>
      <c r="P37" s="379"/>
      <c r="Q37" s="379"/>
      <c r="R37" s="379"/>
      <c r="S37" s="87"/>
      <c r="T37" s="87"/>
      <c r="U37" s="87"/>
      <c r="V37" s="164"/>
    </row>
    <row r="38" spans="1:22" x14ac:dyDescent="0.25">
      <c r="A38" s="374"/>
      <c r="B38" s="5"/>
      <c r="C38" s="713" t="s">
        <v>449</v>
      </c>
      <c r="D38" s="713"/>
      <c r="E38" s="714">
        <v>420000</v>
      </c>
      <c r="F38" s="715"/>
      <c r="G38" s="714">
        <v>567000</v>
      </c>
      <c r="H38" s="715"/>
      <c r="I38" s="87"/>
      <c r="J38" s="87"/>
      <c r="K38" s="87"/>
      <c r="L38" s="87"/>
      <c r="M38" s="87"/>
      <c r="N38" s="87"/>
      <c r="O38" s="87"/>
      <c r="P38" s="379"/>
      <c r="Q38" s="379"/>
      <c r="R38" s="379"/>
      <c r="S38" s="87"/>
      <c r="T38" s="87"/>
      <c r="U38" s="87"/>
      <c r="V38" s="164"/>
    </row>
    <row r="39" spans="1:22" x14ac:dyDescent="0.25">
      <c r="A39" s="374"/>
      <c r="B39" s="5"/>
      <c r="C39" s="713" t="s">
        <v>450</v>
      </c>
      <c r="D39" s="713"/>
      <c r="E39" s="714">
        <v>217000</v>
      </c>
      <c r="F39" s="715"/>
      <c r="G39" s="714">
        <v>151900</v>
      </c>
      <c r="H39" s="715"/>
      <c r="I39" s="87"/>
      <c r="J39" s="87"/>
      <c r="K39" s="87"/>
      <c r="L39" s="87"/>
      <c r="M39" s="87"/>
      <c r="N39" s="87"/>
      <c r="O39" s="87"/>
      <c r="P39" s="379"/>
      <c r="Q39" s="379"/>
      <c r="R39" s="379"/>
      <c r="S39" s="87"/>
      <c r="T39" s="87"/>
      <c r="U39" s="87"/>
      <c r="V39" s="164"/>
    </row>
    <row r="40" spans="1:22" x14ac:dyDescent="0.25">
      <c r="A40" s="374"/>
      <c r="B40" s="5"/>
      <c r="C40" s="713" t="s">
        <v>451</v>
      </c>
      <c r="D40" s="713"/>
      <c r="E40" s="714">
        <v>20500</v>
      </c>
      <c r="F40" s="715"/>
      <c r="G40" s="714">
        <v>9000</v>
      </c>
      <c r="H40" s="715"/>
      <c r="I40" s="87"/>
      <c r="J40" s="87"/>
      <c r="K40" s="87"/>
      <c r="L40" s="87"/>
      <c r="M40" s="87"/>
      <c r="N40" s="87"/>
      <c r="O40" s="87"/>
      <c r="P40" s="379"/>
      <c r="Q40" s="379"/>
      <c r="R40" s="379"/>
      <c r="S40" s="87"/>
      <c r="T40" s="87"/>
      <c r="U40" s="87"/>
      <c r="V40" s="164"/>
    </row>
    <row r="41" spans="1:22" x14ac:dyDescent="0.25">
      <c r="A41" s="374"/>
      <c r="B41" s="5"/>
      <c r="C41" s="713" t="s">
        <v>452</v>
      </c>
      <c r="D41" s="713"/>
      <c r="E41" s="714">
        <v>12400</v>
      </c>
      <c r="F41" s="715"/>
      <c r="G41" s="714">
        <v>8600</v>
      </c>
      <c r="H41" s="715"/>
      <c r="I41" s="87"/>
      <c r="J41" s="87"/>
      <c r="K41" s="87"/>
      <c r="L41" s="87"/>
      <c r="M41" s="87"/>
      <c r="N41" s="87"/>
      <c r="O41" s="87"/>
      <c r="P41" s="379"/>
      <c r="Q41" s="379"/>
      <c r="R41" s="379"/>
      <c r="S41" s="87"/>
      <c r="T41" s="87"/>
      <c r="U41" s="87"/>
      <c r="V41" s="164"/>
    </row>
    <row r="42" spans="1:22" x14ac:dyDescent="0.25">
      <c r="A42" s="374"/>
      <c r="B42" s="5"/>
      <c r="C42" s="713" t="s">
        <v>453</v>
      </c>
      <c r="D42" s="713"/>
      <c r="E42" s="714">
        <v>3200</v>
      </c>
      <c r="F42" s="715"/>
      <c r="G42" s="714">
        <v>1400</v>
      </c>
      <c r="H42" s="715"/>
      <c r="I42" s="87"/>
      <c r="J42" s="87"/>
      <c r="K42" s="87"/>
      <c r="L42" s="87"/>
      <c r="M42" s="87"/>
      <c r="N42" s="87"/>
      <c r="O42" s="87"/>
      <c r="P42" s="379"/>
      <c r="Q42" s="379"/>
      <c r="R42" s="379"/>
      <c r="S42" s="87"/>
      <c r="T42" s="87"/>
      <c r="U42" s="87"/>
      <c r="V42" s="164"/>
    </row>
    <row r="43" spans="1:22" x14ac:dyDescent="0.25">
      <c r="A43" s="374"/>
      <c r="B43" s="5"/>
      <c r="C43" s="713" t="s">
        <v>454</v>
      </c>
      <c r="D43" s="713"/>
      <c r="E43" s="714">
        <v>24700</v>
      </c>
      <c r="F43" s="715"/>
      <c r="G43" s="714">
        <v>15000</v>
      </c>
      <c r="H43" s="715"/>
      <c r="I43" s="87"/>
      <c r="J43" s="87"/>
      <c r="K43" s="87"/>
      <c r="L43" s="87"/>
      <c r="M43" s="87"/>
      <c r="N43" s="87"/>
      <c r="O43" s="87"/>
      <c r="P43" s="379"/>
      <c r="Q43" s="379"/>
      <c r="R43" s="379"/>
      <c r="S43" s="87"/>
      <c r="T43" s="87"/>
      <c r="U43" s="87"/>
      <c r="V43" s="164"/>
    </row>
    <row r="44" spans="1:22" x14ac:dyDescent="0.25">
      <c r="A44" s="374"/>
      <c r="B44" s="5"/>
      <c r="C44" s="713" t="s">
        <v>455</v>
      </c>
      <c r="D44" s="713"/>
      <c r="E44" s="714">
        <v>343000</v>
      </c>
      <c r="F44" s="715"/>
      <c r="G44" s="714">
        <v>377300</v>
      </c>
      <c r="H44" s="715"/>
      <c r="I44" s="87"/>
      <c r="J44" s="87"/>
      <c r="K44" s="87"/>
      <c r="L44" s="87"/>
      <c r="M44" s="87"/>
      <c r="N44" s="87"/>
      <c r="O44" s="87"/>
      <c r="P44" s="379"/>
      <c r="Q44" s="379"/>
      <c r="R44" s="379"/>
      <c r="S44" s="87"/>
      <c r="T44" s="87"/>
      <c r="U44" s="87"/>
      <c r="V44" s="164"/>
    </row>
    <row r="45" spans="1:22" x14ac:dyDescent="0.25">
      <c r="A45" s="374"/>
      <c r="B45" s="5"/>
      <c r="C45" s="87"/>
      <c r="D45" s="87"/>
      <c r="E45" s="87"/>
      <c r="F45" s="87"/>
      <c r="G45" s="87"/>
      <c r="H45" s="87"/>
      <c r="I45" s="87"/>
      <c r="J45" s="87"/>
      <c r="K45" s="87"/>
      <c r="L45" s="87"/>
      <c r="M45" s="87"/>
      <c r="N45" s="87"/>
      <c r="O45" s="87"/>
      <c r="P45" s="87"/>
      <c r="Q45" s="87"/>
      <c r="R45" s="87"/>
      <c r="S45" s="87"/>
      <c r="T45" s="87"/>
      <c r="U45" s="87"/>
      <c r="V45" s="164"/>
    </row>
    <row r="46" spans="1:22" x14ac:dyDescent="0.25">
      <c r="A46" s="379"/>
      <c r="B46" s="379"/>
      <c r="C46" s="5" t="s">
        <v>456</v>
      </c>
      <c r="D46" s="87"/>
      <c r="E46" s="87"/>
      <c r="F46" s="87"/>
      <c r="G46" s="87"/>
      <c r="H46" s="87"/>
      <c r="I46" s="87"/>
      <c r="J46" s="87"/>
      <c r="K46" s="87"/>
      <c r="L46" s="87"/>
      <c r="M46" s="87"/>
      <c r="N46" s="87"/>
      <c r="O46" s="87"/>
      <c r="P46" s="87"/>
      <c r="Q46" s="87"/>
      <c r="R46" s="87"/>
      <c r="S46" s="87"/>
      <c r="T46" s="87"/>
      <c r="U46" s="87"/>
      <c r="V46" s="164"/>
    </row>
    <row r="47" spans="1:22" ht="15.75" thickBot="1" x14ac:dyDescent="0.3">
      <c r="A47" s="374"/>
      <c r="B47" s="87"/>
      <c r="C47" s="704"/>
      <c r="D47" s="704"/>
      <c r="E47" s="87"/>
      <c r="F47" s="87"/>
      <c r="G47" s="87"/>
      <c r="H47" s="87"/>
      <c r="I47" s="87"/>
      <c r="J47" s="87"/>
      <c r="K47" s="87"/>
      <c r="L47" s="87"/>
      <c r="M47" s="87"/>
      <c r="N47" s="87"/>
      <c r="O47" s="87"/>
      <c r="P47" s="87"/>
      <c r="Q47" s="87"/>
      <c r="R47" s="87"/>
      <c r="S47" s="87"/>
      <c r="T47" s="87"/>
      <c r="U47" s="87"/>
      <c r="V47" s="164"/>
    </row>
    <row r="48" spans="1:22" ht="15.75" thickBot="1" x14ac:dyDescent="0.3">
      <c r="A48" s="382" t="s">
        <v>137</v>
      </c>
      <c r="B48" s="180"/>
      <c r="C48" s="1"/>
      <c r="D48" s="1"/>
      <c r="E48" s="1"/>
      <c r="F48" s="1"/>
      <c r="G48" s="2"/>
      <c r="H48" s="181"/>
      <c r="I48" s="182"/>
      <c r="J48" s="182"/>
      <c r="K48" s="182"/>
      <c r="L48" s="182"/>
      <c r="M48" s="182"/>
      <c r="N48" s="182"/>
      <c r="O48" s="182"/>
      <c r="P48" s="182"/>
      <c r="Q48" s="182"/>
      <c r="R48" s="182"/>
      <c r="S48" s="182"/>
      <c r="T48" s="182"/>
      <c r="U48" s="182"/>
      <c r="V48" s="183"/>
    </row>
    <row r="50" spans="1:26" x14ac:dyDescent="0.25">
      <c r="A50" s="430">
        <v>0.5</v>
      </c>
      <c r="B50" s="94" t="s">
        <v>13</v>
      </c>
      <c r="C50" s="96" t="s">
        <v>457</v>
      </c>
    </row>
    <row r="51" spans="1:26" x14ac:dyDescent="0.25">
      <c r="A51" s="95">
        <v>0.25</v>
      </c>
      <c r="B51" s="95" t="s">
        <v>458</v>
      </c>
      <c r="Z51" s="96"/>
    </row>
    <row r="52" spans="1:26" x14ac:dyDescent="0.25">
      <c r="A52" s="95">
        <v>0.25</v>
      </c>
      <c r="B52" s="95" t="s">
        <v>459</v>
      </c>
      <c r="Z52" s="96"/>
    </row>
    <row r="54" spans="1:26" x14ac:dyDescent="0.25">
      <c r="A54" s="430">
        <v>2</v>
      </c>
      <c r="B54" s="95" t="s">
        <v>27</v>
      </c>
      <c r="C54" s="96" t="s">
        <v>460</v>
      </c>
    </row>
    <row r="55" spans="1:26" x14ac:dyDescent="0.25">
      <c r="B55" s="96" t="s">
        <v>461</v>
      </c>
    </row>
    <row r="56" spans="1:26" x14ac:dyDescent="0.25">
      <c r="B56" s="96" t="s">
        <v>462</v>
      </c>
    </row>
    <row r="57" spans="1:26" x14ac:dyDescent="0.25">
      <c r="B57" s="96" t="s">
        <v>463</v>
      </c>
    </row>
    <row r="58" spans="1:26" x14ac:dyDescent="0.25">
      <c r="B58" s="96" t="s">
        <v>464</v>
      </c>
    </row>
    <row r="59" spans="1:26" x14ac:dyDescent="0.25">
      <c r="B59" s="96" t="s">
        <v>465</v>
      </c>
    </row>
    <row r="60" spans="1:26" x14ac:dyDescent="0.25">
      <c r="B60" s="96"/>
    </row>
    <row r="61" spans="1:26" x14ac:dyDescent="0.25">
      <c r="B61" s="96" t="s">
        <v>466</v>
      </c>
    </row>
    <row r="62" spans="1:26" x14ac:dyDescent="0.25">
      <c r="B62" s="96"/>
    </row>
    <row r="63" spans="1:26" x14ac:dyDescent="0.25">
      <c r="A63" s="440">
        <v>0.5</v>
      </c>
      <c r="B63" s="95" t="s">
        <v>467</v>
      </c>
    </row>
    <row r="64" spans="1:26" x14ac:dyDescent="0.25">
      <c r="A64" s="440">
        <v>0.5</v>
      </c>
      <c r="B64" s="95" t="s">
        <v>468</v>
      </c>
    </row>
    <row r="65" spans="1:3" x14ac:dyDescent="0.25">
      <c r="A65" s="440">
        <v>0.5</v>
      </c>
      <c r="B65" s="95" t="s">
        <v>469</v>
      </c>
    </row>
    <row r="66" spans="1:3" x14ac:dyDescent="0.25">
      <c r="A66" s="440">
        <v>0.5</v>
      </c>
      <c r="B66" s="95" t="s">
        <v>470</v>
      </c>
    </row>
    <row r="68" spans="1:3" x14ac:dyDescent="0.25">
      <c r="A68" s="430">
        <v>0.75</v>
      </c>
      <c r="B68" s="95" t="s">
        <v>133</v>
      </c>
      <c r="C68" s="96" t="s">
        <v>471</v>
      </c>
    </row>
    <row r="69" spans="1:3" x14ac:dyDescent="0.25">
      <c r="B69" s="96" t="s">
        <v>472</v>
      </c>
    </row>
    <row r="70" spans="1:3" x14ac:dyDescent="0.25">
      <c r="A70" s="440">
        <v>0.25</v>
      </c>
      <c r="B70" s="95" t="s">
        <v>473</v>
      </c>
    </row>
    <row r="71" spans="1:3" x14ac:dyDescent="0.25">
      <c r="A71" s="440"/>
    </row>
    <row r="73" spans="1:3" x14ac:dyDescent="0.25">
      <c r="B73" s="96" t="s">
        <v>474</v>
      </c>
    </row>
    <row r="74" spans="1:3" x14ac:dyDescent="0.25">
      <c r="B74" s="96" t="s">
        <v>475</v>
      </c>
    </row>
    <row r="75" spans="1:3" x14ac:dyDescent="0.25">
      <c r="A75" s="95">
        <v>0.25</v>
      </c>
      <c r="B75" s="95" t="s">
        <v>476</v>
      </c>
    </row>
    <row r="76" spans="1:3" x14ac:dyDescent="0.25">
      <c r="A76" s="95">
        <v>0.25</v>
      </c>
      <c r="B76" s="95" t="s">
        <v>477</v>
      </c>
    </row>
    <row r="79" spans="1:3" x14ac:dyDescent="0.25">
      <c r="A79" s="430">
        <v>1.75</v>
      </c>
      <c r="B79" s="95" t="s">
        <v>265</v>
      </c>
    </row>
    <row r="80" spans="1:3" x14ac:dyDescent="0.25">
      <c r="B80" s="96" t="s">
        <v>478</v>
      </c>
    </row>
    <row r="81" spans="1:13" x14ac:dyDescent="0.25">
      <c r="B81" s="96" t="s">
        <v>479</v>
      </c>
    </row>
    <row r="82" spans="1:13" x14ac:dyDescent="0.25">
      <c r="B82" s="96" t="s">
        <v>480</v>
      </c>
    </row>
    <row r="83" spans="1:13" x14ac:dyDescent="0.25">
      <c r="B83" s="96" t="s">
        <v>481</v>
      </c>
    </row>
    <row r="84" spans="1:13" x14ac:dyDescent="0.25">
      <c r="B84" s="96" t="s">
        <v>482</v>
      </c>
    </row>
    <row r="86" spans="1:13" x14ac:dyDescent="0.25">
      <c r="B86" s="96" t="s">
        <v>483</v>
      </c>
    </row>
    <row r="87" spans="1:13" x14ac:dyDescent="0.25">
      <c r="B87" s="96"/>
    </row>
    <row r="88" spans="1:13" x14ac:dyDescent="0.25">
      <c r="D88" s="431" t="s">
        <v>276</v>
      </c>
      <c r="E88" s="431" t="s">
        <v>278</v>
      </c>
      <c r="G88" s="95" t="s">
        <v>484</v>
      </c>
      <c r="M88" s="95" t="s">
        <v>485</v>
      </c>
    </row>
    <row r="89" spans="1:13" x14ac:dyDescent="0.25">
      <c r="A89" s="440">
        <v>0.5</v>
      </c>
      <c r="B89" s="95" t="s">
        <v>486</v>
      </c>
      <c r="D89" s="273">
        <f>E43/E39</f>
        <v>0.11382488479262673</v>
      </c>
      <c r="E89" s="273">
        <f>G43/G39</f>
        <v>9.8749177090190918E-2</v>
      </c>
      <c r="G89" s="95" t="s">
        <v>487</v>
      </c>
      <c r="M89" s="95" t="s">
        <v>488</v>
      </c>
    </row>
    <row r="90" spans="1:13" x14ac:dyDescent="0.25">
      <c r="A90" s="440">
        <v>0.5</v>
      </c>
      <c r="B90" s="95" t="s">
        <v>489</v>
      </c>
      <c r="D90" s="273">
        <f>SUM(E40:F42)/E36</f>
        <v>6.2273589787821285E-2</v>
      </c>
      <c r="E90" s="273">
        <f>SUM(G40:H42)/G36</f>
        <v>1.9744362464927778E-2</v>
      </c>
      <c r="G90" s="95" t="s">
        <v>490</v>
      </c>
      <c r="M90" s="95" t="s">
        <v>491</v>
      </c>
    </row>
    <row r="91" spans="1:13" x14ac:dyDescent="0.25">
      <c r="B91" s="95" t="s">
        <v>492</v>
      </c>
      <c r="D91" s="273">
        <f>E37/E39</f>
        <v>2.137327188940092</v>
      </c>
      <c r="E91" s="273">
        <f>G37/G39</f>
        <v>3.816984858459513</v>
      </c>
      <c r="G91" s="95" t="s">
        <v>493</v>
      </c>
      <c r="M91" s="95" t="s">
        <v>494</v>
      </c>
    </row>
    <row r="92" spans="1:13" x14ac:dyDescent="0.25">
      <c r="B92" s="95" t="s">
        <v>495</v>
      </c>
      <c r="D92" s="273">
        <f>(E40+E41)/E38</f>
        <v>7.8333333333333338E-2</v>
      </c>
      <c r="E92" s="273">
        <f>(G40+G41)/G38</f>
        <v>3.1040564373897708E-2</v>
      </c>
      <c r="G92" s="95" t="s">
        <v>496</v>
      </c>
      <c r="M92" s="95" t="s">
        <v>497</v>
      </c>
    </row>
    <row r="94" spans="1:13" x14ac:dyDescent="0.25">
      <c r="B94" s="96" t="s">
        <v>498</v>
      </c>
    </row>
    <row r="95" spans="1:13" x14ac:dyDescent="0.25">
      <c r="A95" s="95">
        <v>0.25</v>
      </c>
      <c r="B95" s="95" t="s">
        <v>499</v>
      </c>
    </row>
    <row r="97" s="95" customFormat="1" x14ac:dyDescent="0.25"/>
    <row r="98" s="95" customFormat="1" x14ac:dyDescent="0.25"/>
    <row r="99" s="95" customFormat="1" x14ac:dyDescent="0.25"/>
    <row r="100" s="95" customFormat="1" x14ac:dyDescent="0.25"/>
    <row r="102" s="95" customFormat="1" x14ac:dyDescent="0.25"/>
    <row r="103" s="95" customFormat="1" x14ac:dyDescent="0.25"/>
    <row r="104" s="95" customFormat="1" x14ac:dyDescent="0.25"/>
  </sheetData>
  <mergeCells count="41">
    <mergeCell ref="E35:F35"/>
    <mergeCell ref="G35:H35"/>
    <mergeCell ref="C18:D18"/>
    <mergeCell ref="C19:D19"/>
    <mergeCell ref="E19:F19"/>
    <mergeCell ref="Q19:R19"/>
    <mergeCell ref="C20:D20"/>
    <mergeCell ref="C21:D21"/>
    <mergeCell ref="C22:D22"/>
    <mergeCell ref="C23:D23"/>
    <mergeCell ref="I19:J19"/>
    <mergeCell ref="K19:L19"/>
    <mergeCell ref="O19:P19"/>
    <mergeCell ref="C36:D36"/>
    <mergeCell ref="E36:F36"/>
    <mergeCell ref="G36:H36"/>
    <mergeCell ref="C37:D37"/>
    <mergeCell ref="E37:F37"/>
    <mergeCell ref="G37:H37"/>
    <mergeCell ref="C38:D38"/>
    <mergeCell ref="E38:F38"/>
    <mergeCell ref="G38:H38"/>
    <mergeCell ref="C39:D39"/>
    <mergeCell ref="E39:F39"/>
    <mergeCell ref="G39:H39"/>
    <mergeCell ref="C40:D40"/>
    <mergeCell ref="E40:F40"/>
    <mergeCell ref="G40:H40"/>
    <mergeCell ref="C41:D41"/>
    <mergeCell ref="E41:F41"/>
    <mergeCell ref="G41:H41"/>
    <mergeCell ref="C44:D44"/>
    <mergeCell ref="E44:F44"/>
    <mergeCell ref="G44:H44"/>
    <mergeCell ref="C47:D47"/>
    <mergeCell ref="C42:D42"/>
    <mergeCell ref="E42:F42"/>
    <mergeCell ref="G42:H42"/>
    <mergeCell ref="C43:D43"/>
    <mergeCell ref="E43:F43"/>
    <mergeCell ref="G43:H4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T54"/>
  <sheetViews>
    <sheetView workbookViewId="0">
      <selection activeCell="G38" sqref="G38"/>
    </sheetView>
  </sheetViews>
  <sheetFormatPr defaultColWidth="8.85546875" defaultRowHeight="15" x14ac:dyDescent="0.25"/>
  <cols>
    <col min="1" max="1" width="8.85546875" style="95"/>
    <col min="2" max="2" width="19.28515625" style="95" customWidth="1"/>
    <col min="3" max="3" width="23" style="95" customWidth="1"/>
    <col min="4" max="4" width="8.85546875" style="95"/>
    <col min="5" max="5" width="10.42578125" style="95" customWidth="1"/>
    <col min="6" max="16384" width="8.85546875" style="95"/>
  </cols>
  <sheetData>
    <row r="1" spans="1:20" x14ac:dyDescent="0.25">
      <c r="A1" s="383"/>
      <c r="B1" s="5" t="s">
        <v>500</v>
      </c>
      <c r="C1" s="87"/>
      <c r="D1" s="87"/>
      <c r="E1" s="87"/>
      <c r="F1" s="87"/>
      <c r="G1" s="87"/>
      <c r="H1" s="87"/>
      <c r="I1" s="87"/>
      <c r="J1" s="87"/>
      <c r="K1" s="87"/>
      <c r="L1" s="87"/>
      <c r="M1" s="87"/>
      <c r="N1" s="87"/>
      <c r="O1" s="87"/>
      <c r="P1" s="87"/>
      <c r="Q1" s="87"/>
      <c r="R1" s="87"/>
      <c r="S1" s="87"/>
      <c r="T1" s="164"/>
    </row>
    <row r="2" spans="1:20" x14ac:dyDescent="0.25">
      <c r="A2" s="373"/>
      <c r="B2" s="87"/>
      <c r="C2" s="87"/>
      <c r="D2" s="87"/>
      <c r="E2" s="87"/>
      <c r="F2" s="87"/>
      <c r="G2" s="87"/>
      <c r="H2" s="87"/>
      <c r="I2" s="87"/>
      <c r="J2" s="87"/>
      <c r="K2" s="87"/>
      <c r="L2" s="87"/>
      <c r="M2" s="87"/>
      <c r="N2" s="87"/>
      <c r="O2" s="87"/>
      <c r="P2" s="87"/>
      <c r="Q2" s="87"/>
      <c r="R2" s="87"/>
      <c r="S2" s="87"/>
      <c r="T2" s="164"/>
    </row>
    <row r="3" spans="1:20" x14ac:dyDescent="0.25">
      <c r="A3" s="373"/>
      <c r="B3" s="5" t="s">
        <v>501</v>
      </c>
      <c r="C3" s="87"/>
      <c r="D3" s="87"/>
      <c r="E3" s="87"/>
      <c r="F3" s="87"/>
      <c r="G3" s="87"/>
      <c r="H3" s="87"/>
      <c r="I3" s="87"/>
      <c r="J3" s="87"/>
      <c r="K3" s="87"/>
      <c r="L3" s="87"/>
      <c r="M3" s="87"/>
      <c r="N3" s="87"/>
      <c r="O3" s="87"/>
      <c r="P3" s="87"/>
      <c r="Q3" s="87"/>
      <c r="R3" s="87"/>
      <c r="S3" s="87"/>
      <c r="T3" s="164"/>
    </row>
    <row r="4" spans="1:20" x14ac:dyDescent="0.25">
      <c r="A4" s="373"/>
      <c r="B4" s="5" t="s">
        <v>502</v>
      </c>
      <c r="C4" s="87"/>
      <c r="D4" s="87"/>
      <c r="E4" s="87"/>
      <c r="F4" s="87"/>
      <c r="G4" s="87"/>
      <c r="H4" s="87"/>
      <c r="I4" s="87"/>
      <c r="J4" s="87"/>
      <c r="K4" s="87"/>
      <c r="L4" s="87"/>
      <c r="M4" s="87"/>
      <c r="N4" s="87"/>
      <c r="O4" s="87"/>
      <c r="P4" s="87"/>
      <c r="Q4" s="87"/>
      <c r="R4" s="87"/>
      <c r="S4" s="87"/>
      <c r="T4" s="164"/>
    </row>
    <row r="5" spans="1:20" x14ac:dyDescent="0.25">
      <c r="A5" s="373"/>
      <c r="B5" s="5"/>
      <c r="C5" s="87"/>
      <c r="D5" s="87"/>
      <c r="E5" s="87"/>
      <c r="F5" s="87"/>
      <c r="G5" s="87"/>
      <c r="H5" s="87"/>
      <c r="I5" s="87"/>
      <c r="J5" s="87"/>
      <c r="K5" s="87"/>
      <c r="L5" s="87"/>
      <c r="M5" s="87"/>
      <c r="N5" s="87"/>
      <c r="O5" s="87"/>
      <c r="P5" s="87"/>
      <c r="Q5" s="87"/>
      <c r="R5" s="87"/>
      <c r="S5" s="87"/>
      <c r="T5" s="164"/>
    </row>
    <row r="6" spans="1:20" x14ac:dyDescent="0.25">
      <c r="A6" s="373"/>
      <c r="B6" s="384" t="s">
        <v>503</v>
      </c>
      <c r="C6" s="87"/>
      <c r="D6" s="87"/>
      <c r="E6" s="87"/>
      <c r="F6" s="87"/>
      <c r="G6" s="385">
        <v>750000</v>
      </c>
      <c r="H6" s="87"/>
      <c r="I6" s="87"/>
      <c r="J6" s="87"/>
      <c r="K6" s="87"/>
      <c r="L6" s="87"/>
      <c r="M6" s="87"/>
      <c r="N6" s="87"/>
      <c r="O6" s="87"/>
      <c r="P6" s="87"/>
      <c r="Q6" s="87"/>
      <c r="R6" s="87"/>
      <c r="S6" s="87"/>
      <c r="T6" s="164"/>
    </row>
    <row r="7" spans="1:20" x14ac:dyDescent="0.25">
      <c r="A7" s="373"/>
      <c r="B7" s="384" t="s">
        <v>106</v>
      </c>
      <c r="C7" s="87"/>
      <c r="D7" s="87"/>
      <c r="E7" s="87"/>
      <c r="F7" s="87"/>
      <c r="G7" s="87"/>
      <c r="H7" s="87"/>
      <c r="I7" s="87"/>
      <c r="J7" s="87"/>
      <c r="K7" s="87"/>
      <c r="L7" s="87"/>
      <c r="M7" s="87"/>
      <c r="N7" s="87"/>
      <c r="O7" s="87"/>
      <c r="P7" s="87"/>
      <c r="Q7" s="87"/>
      <c r="R7" s="87"/>
      <c r="S7" s="87"/>
      <c r="T7" s="164"/>
    </row>
    <row r="8" spans="1:20" x14ac:dyDescent="0.25">
      <c r="A8" s="373"/>
      <c r="B8" s="384"/>
      <c r="C8" s="87"/>
      <c r="D8" s="87"/>
      <c r="E8" s="87"/>
      <c r="F8" s="329"/>
      <c r="G8" s="5"/>
      <c r="H8" s="87"/>
      <c r="I8" s="87"/>
      <c r="J8" s="87"/>
      <c r="K8" s="87"/>
      <c r="L8" s="87"/>
      <c r="M8" s="87"/>
      <c r="N8" s="87"/>
      <c r="O8" s="87"/>
      <c r="P8" s="87"/>
      <c r="Q8" s="87"/>
      <c r="R8" s="87"/>
      <c r="S8" s="87"/>
      <c r="T8" s="164"/>
    </row>
    <row r="9" spans="1:20" x14ac:dyDescent="0.25">
      <c r="A9" s="373"/>
      <c r="B9" s="165" t="s">
        <v>504</v>
      </c>
      <c r="C9" s="165"/>
      <c r="D9" s="165"/>
      <c r="E9" s="87"/>
      <c r="F9" s="87"/>
      <c r="G9" s="87"/>
      <c r="H9" s="87"/>
      <c r="I9" s="87"/>
      <c r="J9" s="87"/>
      <c r="K9" s="87"/>
      <c r="L9" s="87"/>
      <c r="M9" s="87"/>
      <c r="N9" s="87"/>
      <c r="O9" s="87"/>
      <c r="P9" s="87"/>
      <c r="Q9" s="87"/>
      <c r="R9" s="87"/>
      <c r="S9" s="87"/>
      <c r="T9" s="164"/>
    </row>
    <row r="10" spans="1:20" x14ac:dyDescent="0.25">
      <c r="A10" s="373"/>
      <c r="B10" s="165"/>
      <c r="C10" s="165"/>
      <c r="D10" s="165"/>
      <c r="E10" s="87"/>
      <c r="F10" s="87"/>
      <c r="G10" s="87"/>
      <c r="H10" s="87"/>
      <c r="I10" s="87"/>
      <c r="J10" s="87"/>
      <c r="K10" s="87"/>
      <c r="L10" s="87"/>
      <c r="M10" s="87"/>
      <c r="N10" s="87"/>
      <c r="O10" s="87"/>
      <c r="P10" s="87"/>
      <c r="Q10" s="87"/>
      <c r="R10" s="87"/>
      <c r="S10" s="87"/>
      <c r="T10" s="164"/>
    </row>
    <row r="11" spans="1:20" x14ac:dyDescent="0.25">
      <c r="A11" s="373"/>
      <c r="B11" s="167" t="s">
        <v>80</v>
      </c>
      <c r="C11" s="168"/>
      <c r="D11" s="169">
        <v>2024</v>
      </c>
      <c r="E11" s="170">
        <v>2025</v>
      </c>
      <c r="F11" s="171">
        <v>2026</v>
      </c>
      <c r="G11" s="87"/>
      <c r="H11" s="87"/>
      <c r="I11" s="87"/>
      <c r="J11" s="87"/>
      <c r="K11" s="87"/>
      <c r="L11" s="87"/>
      <c r="M11" s="87"/>
      <c r="N11" s="87"/>
      <c r="O11" s="87"/>
      <c r="P11" s="87"/>
      <c r="Q11" s="87"/>
      <c r="R11" s="87"/>
      <c r="S11" s="87"/>
      <c r="T11" s="164"/>
    </row>
    <row r="12" spans="1:20" x14ac:dyDescent="0.25">
      <c r="A12" s="374"/>
      <c r="B12" s="167" t="s">
        <v>81</v>
      </c>
      <c r="C12" s="168"/>
      <c r="D12" s="172">
        <v>0.65</v>
      </c>
      <c r="E12" s="173">
        <v>0.25</v>
      </c>
      <c r="F12" s="174">
        <v>0.1</v>
      </c>
      <c r="G12" s="87"/>
      <c r="H12" s="87"/>
      <c r="I12" s="87"/>
      <c r="J12" s="87"/>
      <c r="K12" s="87"/>
      <c r="L12" s="87"/>
      <c r="M12" s="87"/>
      <c r="N12" s="87"/>
      <c r="O12" s="87"/>
      <c r="P12" s="87"/>
      <c r="Q12" s="87"/>
      <c r="R12" s="87"/>
      <c r="S12" s="87"/>
      <c r="T12" s="164"/>
    </row>
    <row r="13" spans="1:20" x14ac:dyDescent="0.25">
      <c r="A13" s="374"/>
      <c r="B13" s="5"/>
      <c r="C13" s="87"/>
      <c r="D13" s="386"/>
      <c r="E13" s="386"/>
      <c r="F13" s="386"/>
      <c r="G13" s="87"/>
      <c r="H13" s="87"/>
      <c r="I13" s="87"/>
      <c r="J13" s="87"/>
      <c r="K13" s="87"/>
      <c r="L13" s="87"/>
      <c r="M13" s="87"/>
      <c r="N13" s="87"/>
      <c r="O13" s="87"/>
      <c r="P13" s="87"/>
      <c r="Q13" s="87"/>
      <c r="R13" s="87"/>
      <c r="S13" s="87"/>
      <c r="T13" s="164"/>
    </row>
    <row r="14" spans="1:20" x14ac:dyDescent="0.25">
      <c r="A14" s="374"/>
      <c r="B14" s="5" t="s">
        <v>83</v>
      </c>
      <c r="C14" s="87"/>
      <c r="D14" s="87"/>
      <c r="E14" s="87"/>
      <c r="F14" s="87"/>
      <c r="G14" s="87"/>
      <c r="H14" s="87"/>
      <c r="I14" s="87"/>
      <c r="J14" s="87"/>
      <c r="K14" s="87"/>
      <c r="L14" s="87"/>
      <c r="M14" s="87"/>
      <c r="N14" s="87"/>
      <c r="O14" s="87"/>
      <c r="P14" s="87"/>
      <c r="Q14" s="87"/>
      <c r="R14" s="87"/>
      <c r="S14" s="87"/>
      <c r="T14" s="164"/>
    </row>
    <row r="15" spans="1:20" x14ac:dyDescent="0.25">
      <c r="A15" s="374"/>
      <c r="B15" s="167" t="s">
        <v>108</v>
      </c>
      <c r="C15" s="168"/>
      <c r="D15" s="175">
        <v>0.5</v>
      </c>
      <c r="E15" s="176">
        <v>1.5</v>
      </c>
      <c r="F15" s="168">
        <v>2.5</v>
      </c>
      <c r="G15" s="87"/>
      <c r="H15" s="87"/>
      <c r="I15" s="87"/>
      <c r="J15" s="87"/>
      <c r="K15" s="87"/>
      <c r="L15" s="87"/>
      <c r="M15" s="87"/>
      <c r="N15" s="87"/>
      <c r="O15" s="87"/>
      <c r="P15" s="87"/>
      <c r="Q15" s="87"/>
      <c r="R15" s="87"/>
      <c r="S15" s="87"/>
      <c r="T15" s="164"/>
    </row>
    <row r="16" spans="1:20" x14ac:dyDescent="0.25">
      <c r="A16" s="374"/>
      <c r="B16" s="167" t="s">
        <v>85</v>
      </c>
      <c r="C16" s="168"/>
      <c r="D16" s="177">
        <v>0.04</v>
      </c>
      <c r="E16" s="178">
        <v>4.2000000000000003E-2</v>
      </c>
      <c r="F16" s="179">
        <v>4.5999999999999999E-2</v>
      </c>
      <c r="G16" s="87"/>
      <c r="H16" s="87"/>
      <c r="I16" s="87"/>
      <c r="J16" s="87"/>
      <c r="K16" s="87"/>
      <c r="L16" s="87"/>
      <c r="M16" s="87"/>
      <c r="N16" s="87"/>
      <c r="O16" s="87"/>
      <c r="P16" s="87"/>
      <c r="Q16" s="87"/>
      <c r="R16" s="87"/>
      <c r="S16" s="87"/>
      <c r="T16" s="164"/>
    </row>
    <row r="17" spans="1:20" x14ac:dyDescent="0.25">
      <c r="A17" s="374"/>
      <c r="B17" s="5"/>
      <c r="C17" s="87"/>
      <c r="D17" s="386"/>
      <c r="E17" s="386"/>
      <c r="F17" s="386"/>
      <c r="G17" s="386"/>
      <c r="H17" s="87"/>
      <c r="I17" s="87"/>
      <c r="J17" s="87"/>
      <c r="K17" s="87"/>
      <c r="L17" s="87"/>
      <c r="M17" s="87"/>
      <c r="N17" s="87"/>
      <c r="O17" s="87"/>
      <c r="P17" s="87"/>
      <c r="Q17" s="87"/>
      <c r="R17" s="87"/>
      <c r="S17" s="87"/>
      <c r="T17" s="164"/>
    </row>
    <row r="18" spans="1:20" x14ac:dyDescent="0.25">
      <c r="A18" s="378" t="s">
        <v>13</v>
      </c>
      <c r="B18" s="379" t="s">
        <v>25</v>
      </c>
      <c r="C18" s="379" t="s">
        <v>505</v>
      </c>
      <c r="D18" s="87"/>
      <c r="E18" s="87"/>
      <c r="F18" s="87"/>
      <c r="G18" s="87"/>
      <c r="H18" s="87"/>
      <c r="I18" s="87"/>
      <c r="J18" s="87"/>
      <c r="K18" s="87"/>
      <c r="L18" s="87"/>
      <c r="M18" s="87"/>
      <c r="N18" s="87"/>
      <c r="O18" s="87"/>
      <c r="P18" s="87"/>
      <c r="Q18" s="87"/>
      <c r="R18" s="87"/>
      <c r="S18" s="87"/>
      <c r="T18" s="164"/>
    </row>
    <row r="19" spans="1:20" x14ac:dyDescent="0.25">
      <c r="A19" s="374"/>
      <c r="B19" s="379"/>
      <c r="C19" s="379"/>
      <c r="D19" s="379" t="s">
        <v>506</v>
      </c>
      <c r="E19" s="87"/>
      <c r="F19" s="87"/>
      <c r="G19" s="87"/>
      <c r="H19" s="87"/>
      <c r="I19" s="87"/>
      <c r="J19" s="87"/>
      <c r="K19" s="87"/>
      <c r="L19" s="87"/>
      <c r="M19" s="87"/>
      <c r="N19" s="87"/>
      <c r="O19" s="87"/>
      <c r="P19" s="87"/>
      <c r="Q19" s="87"/>
      <c r="R19" s="87"/>
      <c r="S19" s="87"/>
      <c r="T19" s="164"/>
    </row>
    <row r="20" spans="1:20" x14ac:dyDescent="0.25">
      <c r="A20" s="374"/>
      <c r="B20" s="379"/>
      <c r="C20" s="379"/>
      <c r="D20" s="379" t="s">
        <v>507</v>
      </c>
      <c r="E20" s="87"/>
      <c r="F20" s="87"/>
      <c r="G20" s="87"/>
      <c r="H20" s="87"/>
      <c r="I20" s="87"/>
      <c r="J20" s="87"/>
      <c r="K20" s="87"/>
      <c r="L20" s="87"/>
      <c r="M20" s="87"/>
      <c r="N20" s="87"/>
      <c r="O20" s="87"/>
      <c r="P20" s="87"/>
      <c r="Q20" s="87"/>
      <c r="R20" s="87"/>
      <c r="S20" s="87"/>
      <c r="T20" s="164"/>
    </row>
    <row r="21" spans="1:20" x14ac:dyDescent="0.25">
      <c r="A21" s="374"/>
      <c r="B21" s="87"/>
      <c r="C21" s="87"/>
      <c r="D21" s="87"/>
      <c r="E21" s="87"/>
      <c r="F21" s="87"/>
      <c r="G21" s="87"/>
      <c r="H21" s="87"/>
      <c r="I21" s="87"/>
      <c r="J21" s="87"/>
      <c r="K21" s="87"/>
      <c r="L21" s="87"/>
      <c r="M21" s="87"/>
      <c r="N21" s="87"/>
      <c r="O21" s="87"/>
      <c r="P21" s="87"/>
      <c r="Q21" s="87"/>
      <c r="R21" s="87"/>
      <c r="S21" s="87"/>
      <c r="T21" s="164"/>
    </row>
    <row r="22" spans="1:20" x14ac:dyDescent="0.25">
      <c r="A22" s="378" t="s">
        <v>27</v>
      </c>
      <c r="B22" s="379" t="s">
        <v>22</v>
      </c>
      <c r="C22" s="5" t="s">
        <v>508</v>
      </c>
      <c r="D22" s="87"/>
      <c r="E22" s="87"/>
      <c r="F22" s="87"/>
      <c r="G22" s="87"/>
      <c r="H22" s="87"/>
      <c r="I22" s="87"/>
      <c r="J22" s="87"/>
      <c r="K22" s="87"/>
      <c r="L22" s="87"/>
      <c r="M22" s="87"/>
      <c r="N22" s="87"/>
      <c r="O22" s="87"/>
      <c r="P22" s="87"/>
      <c r="Q22" s="87"/>
      <c r="R22" s="87"/>
      <c r="S22" s="87"/>
      <c r="T22" s="164"/>
    </row>
    <row r="23" spans="1:20" x14ac:dyDescent="0.25">
      <c r="A23" s="374"/>
      <c r="B23" s="87"/>
      <c r="C23" s="87"/>
      <c r="D23" s="87"/>
      <c r="E23" s="87"/>
      <c r="F23" s="87"/>
      <c r="G23" s="87"/>
      <c r="H23" s="87"/>
      <c r="I23" s="87"/>
      <c r="J23" s="87"/>
      <c r="K23" s="87"/>
      <c r="L23" s="87"/>
      <c r="M23" s="87"/>
      <c r="N23" s="87"/>
      <c r="O23" s="87"/>
      <c r="P23" s="87"/>
      <c r="Q23" s="87"/>
      <c r="R23" s="87"/>
      <c r="S23" s="87"/>
      <c r="T23" s="164"/>
    </row>
    <row r="24" spans="1:20" x14ac:dyDescent="0.25">
      <c r="A24" s="378" t="s">
        <v>133</v>
      </c>
      <c r="B24" s="379" t="s">
        <v>25</v>
      </c>
      <c r="C24" s="5" t="s">
        <v>509</v>
      </c>
      <c r="D24" s="87"/>
      <c r="E24" s="87"/>
      <c r="F24" s="87"/>
      <c r="G24" s="87"/>
      <c r="H24" s="87"/>
      <c r="I24" s="87"/>
      <c r="J24" s="87"/>
      <c r="K24" s="87"/>
      <c r="L24" s="87"/>
      <c r="M24" s="87"/>
      <c r="N24" s="87"/>
      <c r="O24" s="87"/>
      <c r="P24" s="87"/>
      <c r="Q24" s="87"/>
      <c r="R24" s="87"/>
      <c r="S24" s="87"/>
      <c r="T24" s="164"/>
    </row>
    <row r="25" spans="1:20" x14ac:dyDescent="0.25">
      <c r="A25" s="374"/>
      <c r="B25" s="379"/>
      <c r="C25" s="379"/>
      <c r="D25" s="379" t="s">
        <v>510</v>
      </c>
      <c r="E25" s="87"/>
      <c r="F25" s="87"/>
      <c r="G25" s="87"/>
      <c r="H25" s="87"/>
      <c r="I25" s="87"/>
      <c r="J25" s="87"/>
      <c r="K25" s="87"/>
      <c r="L25" s="87"/>
      <c r="M25" s="87"/>
      <c r="N25" s="87"/>
      <c r="O25" s="87"/>
      <c r="P25" s="87"/>
      <c r="Q25" s="87"/>
      <c r="R25" s="87"/>
      <c r="S25" s="87"/>
      <c r="T25" s="164"/>
    </row>
    <row r="26" spans="1:20" x14ac:dyDescent="0.25">
      <c r="A26" s="374"/>
      <c r="B26" s="379"/>
      <c r="C26" s="379"/>
      <c r="D26" s="379" t="s">
        <v>511</v>
      </c>
      <c r="E26" s="87"/>
      <c r="F26" s="87"/>
      <c r="G26" s="87"/>
      <c r="H26" s="87"/>
      <c r="I26" s="87"/>
      <c r="J26" s="87"/>
      <c r="K26" s="87"/>
      <c r="L26" s="87"/>
      <c r="M26" s="87"/>
      <c r="N26" s="87"/>
      <c r="O26" s="87"/>
      <c r="P26" s="87"/>
      <c r="Q26" s="87"/>
      <c r="R26" s="87"/>
      <c r="S26" s="87"/>
      <c r="T26" s="164"/>
    </row>
    <row r="27" spans="1:20" ht="15.75" thickBot="1" x14ac:dyDescent="0.3">
      <c r="A27" s="374"/>
      <c r="B27" s="87"/>
      <c r="C27" s="87"/>
      <c r="D27" s="87"/>
      <c r="E27" s="87"/>
      <c r="F27" s="87"/>
      <c r="G27" s="87"/>
      <c r="H27" s="87"/>
      <c r="I27" s="87"/>
      <c r="J27" s="87"/>
      <c r="K27" s="87"/>
      <c r="L27" s="87"/>
      <c r="M27" s="87"/>
      <c r="N27" s="87"/>
      <c r="O27" s="87"/>
      <c r="P27" s="87"/>
      <c r="Q27" s="87"/>
      <c r="R27" s="87"/>
      <c r="S27" s="87"/>
      <c r="T27" s="164"/>
    </row>
    <row r="28" spans="1:20" ht="15.75" thickBot="1" x14ac:dyDescent="0.3">
      <c r="A28" s="382" t="s">
        <v>137</v>
      </c>
      <c r="B28" s="180"/>
      <c r="C28" s="1"/>
      <c r="D28" s="1"/>
      <c r="E28" s="1"/>
      <c r="F28" s="1"/>
      <c r="G28" s="2"/>
      <c r="H28" s="181"/>
      <c r="I28" s="182"/>
      <c r="J28" s="182"/>
      <c r="K28" s="182"/>
      <c r="L28" s="182"/>
      <c r="M28" s="182"/>
      <c r="N28" s="182"/>
      <c r="O28" s="182"/>
      <c r="P28" s="182"/>
      <c r="Q28" s="182"/>
      <c r="R28" s="182"/>
      <c r="S28" s="182"/>
      <c r="T28" s="183"/>
    </row>
    <row r="30" spans="1:20" x14ac:dyDescent="0.25">
      <c r="A30" s="430">
        <v>0.5</v>
      </c>
      <c r="B30" s="94" t="s">
        <v>13</v>
      </c>
      <c r="C30" s="96" t="s">
        <v>512</v>
      </c>
    </row>
    <row r="31" spans="1:20" x14ac:dyDescent="0.25">
      <c r="A31" s="95">
        <v>0.25</v>
      </c>
      <c r="B31" s="95" t="s">
        <v>513</v>
      </c>
    </row>
    <row r="32" spans="1:20" x14ac:dyDescent="0.25">
      <c r="A32" s="95">
        <v>0.25</v>
      </c>
      <c r="B32" s="95" t="s">
        <v>514</v>
      </c>
    </row>
    <row r="35" spans="1:6" x14ac:dyDescent="0.25">
      <c r="A35" s="430">
        <v>1.5</v>
      </c>
      <c r="B35" s="95" t="s">
        <v>27</v>
      </c>
      <c r="C35" s="96" t="s">
        <v>512</v>
      </c>
    </row>
    <row r="36" spans="1:6" x14ac:dyDescent="0.25">
      <c r="B36" s="95" t="s">
        <v>95</v>
      </c>
      <c r="C36" s="431">
        <v>0.5</v>
      </c>
      <c r="D36" s="431">
        <v>1.5</v>
      </c>
      <c r="E36" s="431">
        <v>2.5</v>
      </c>
      <c r="F36" s="431" t="s">
        <v>96</v>
      </c>
    </row>
    <row r="37" spans="1:6" x14ac:dyDescent="0.25">
      <c r="A37" s="95">
        <v>0.25</v>
      </c>
      <c r="B37" s="95" t="s">
        <v>116</v>
      </c>
      <c r="C37" s="432">
        <f>$G$6*D12</f>
        <v>487500</v>
      </c>
      <c r="D37" s="432">
        <f>$G$6*E12</f>
        <v>187500</v>
      </c>
      <c r="E37" s="432">
        <f>$G$6*F12</f>
        <v>75000</v>
      </c>
      <c r="F37" s="100">
        <f>SUM(C37:E37)</f>
        <v>750000</v>
      </c>
    </row>
    <row r="38" spans="1:6" x14ac:dyDescent="0.25">
      <c r="B38" s="95" t="s">
        <v>515</v>
      </c>
      <c r="C38" s="433">
        <f>D16</f>
        <v>0.04</v>
      </c>
      <c r="D38" s="433">
        <f>E16</f>
        <v>4.2000000000000003E-2</v>
      </c>
      <c r="E38" s="433">
        <f>F16</f>
        <v>4.5999999999999999E-2</v>
      </c>
      <c r="F38" s="100"/>
    </row>
    <row r="39" spans="1:6" x14ac:dyDescent="0.25">
      <c r="A39" s="95">
        <v>0.25</v>
      </c>
      <c r="B39" s="95" t="s">
        <v>118</v>
      </c>
      <c r="C39" s="432">
        <f>C37*(1+C38)^-C36</f>
        <v>478033.07939932356</v>
      </c>
      <c r="D39" s="432">
        <f>D37*(1+D38)^-D36</f>
        <v>176278.64096398727</v>
      </c>
      <c r="E39" s="432">
        <f>E37*(1+E38)^-E36</f>
        <v>67024.263755026186</v>
      </c>
      <c r="F39" s="100">
        <f>SUM(C39:E39)</f>
        <v>721335.98411833693</v>
      </c>
    </row>
    <row r="41" spans="1:6" ht="15.75" thickBot="1" x14ac:dyDescent="0.3">
      <c r="B41" s="95" t="s">
        <v>516</v>
      </c>
    </row>
    <row r="42" spans="1:6" ht="15.75" thickBot="1" x14ac:dyDescent="0.3">
      <c r="A42" s="95">
        <v>0.25</v>
      </c>
      <c r="B42" s="434" t="s">
        <v>517</v>
      </c>
      <c r="C42" s="435">
        <f>C37</f>
        <v>487500</v>
      </c>
      <c r="D42" s="436">
        <f>D37*(1+C38)^-C36</f>
        <v>183858.87669204752</v>
      </c>
      <c r="E42" s="437">
        <f>E37*(1+D38)^-D36</f>
        <v>70511.456385594909</v>
      </c>
      <c r="F42" s="100">
        <f>SUM(C42:E42)</f>
        <v>741870.33307764248</v>
      </c>
    </row>
    <row r="43" spans="1:6" ht="15.75" thickBot="1" x14ac:dyDescent="0.3">
      <c r="B43" s="434"/>
    </row>
    <row r="44" spans="1:6" ht="15.75" thickBot="1" x14ac:dyDescent="0.3">
      <c r="A44" s="95">
        <v>0.25</v>
      </c>
      <c r="B44" s="95" t="s">
        <v>518</v>
      </c>
      <c r="C44" s="438">
        <f>F42-F39</f>
        <v>20534.348959305556</v>
      </c>
    </row>
    <row r="46" spans="1:6" x14ac:dyDescent="0.25">
      <c r="B46" s="439" t="s">
        <v>519</v>
      </c>
    </row>
    <row r="47" spans="1:6" x14ac:dyDescent="0.25">
      <c r="B47" s="95" t="s">
        <v>518</v>
      </c>
      <c r="C47" s="100">
        <f>C39*(1+C38)^C36-C39</f>
        <v>9466.9206006764434</v>
      </c>
      <c r="D47" s="100">
        <f>D38*D39</f>
        <v>7403.7029204874661</v>
      </c>
      <c r="E47" s="100">
        <f>E38*E39</f>
        <v>3083.1161327312043</v>
      </c>
    </row>
    <row r="48" spans="1:6" x14ac:dyDescent="0.25">
      <c r="B48" s="439" t="s">
        <v>520</v>
      </c>
    </row>
    <row r="49" spans="1:5" ht="15.75" thickBot="1" x14ac:dyDescent="0.3">
      <c r="B49" s="95" t="s">
        <v>518</v>
      </c>
      <c r="C49" s="100">
        <f>C37-C39</f>
        <v>9466.9206006764434</v>
      </c>
      <c r="D49" s="100">
        <f>D37-D39</f>
        <v>11221.359036012727</v>
      </c>
      <c r="E49" s="100">
        <f>E37-E39</f>
        <v>7975.7362449738139</v>
      </c>
    </row>
    <row r="50" spans="1:5" ht="15.75" thickBot="1" x14ac:dyDescent="0.3">
      <c r="A50" s="440">
        <v>0.5</v>
      </c>
      <c r="B50" s="95" t="s">
        <v>96</v>
      </c>
      <c r="C50" s="438">
        <f>SUM(C47:E47)</f>
        <v>19953.739653895114</v>
      </c>
    </row>
    <row r="52" spans="1:5" x14ac:dyDescent="0.25">
      <c r="A52" s="430">
        <v>0.5</v>
      </c>
      <c r="B52" s="94" t="s">
        <v>133</v>
      </c>
      <c r="C52" s="96" t="s">
        <v>521</v>
      </c>
    </row>
    <row r="53" spans="1:5" x14ac:dyDescent="0.25">
      <c r="A53" s="95">
        <v>0.25</v>
      </c>
      <c r="B53" s="95" t="s">
        <v>522</v>
      </c>
    </row>
    <row r="54" spans="1:5" x14ac:dyDescent="0.25">
      <c r="A54" s="95">
        <v>0.25</v>
      </c>
      <c r="B54" s="95" t="s">
        <v>523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dimension ref="A1:AN186"/>
  <sheetViews>
    <sheetView workbookViewId="0">
      <selection activeCell="G38" sqref="G38"/>
    </sheetView>
  </sheetViews>
  <sheetFormatPr defaultColWidth="0" defaultRowHeight="15" zeroHeight="1" x14ac:dyDescent="0.25"/>
  <cols>
    <col min="1" max="1" width="4.42578125" style="79" customWidth="1"/>
    <col min="2" max="2" width="7.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x14ac:dyDescent="0.25">
      <c r="A1" s="6"/>
      <c r="B1" s="7" t="s">
        <v>73</v>
      </c>
      <c r="C1" s="8"/>
      <c r="D1" s="8"/>
      <c r="E1" s="8"/>
      <c r="F1" s="8"/>
      <c r="G1" s="8"/>
      <c r="H1" s="8"/>
      <c r="I1" s="8"/>
      <c r="J1" s="8"/>
      <c r="K1" s="8"/>
      <c r="L1" s="8"/>
      <c r="M1" s="78"/>
    </row>
    <row r="2" spans="1:13" x14ac:dyDescent="0.25">
      <c r="A2" s="9"/>
      <c r="B2" s="10"/>
      <c r="C2" s="8"/>
      <c r="D2" s="8"/>
      <c r="E2" s="8"/>
      <c r="F2" s="8"/>
      <c r="G2" s="8"/>
      <c r="H2" s="8"/>
      <c r="I2" s="8"/>
      <c r="J2" s="8"/>
      <c r="K2" s="8"/>
      <c r="L2" s="8"/>
      <c r="M2" s="78"/>
    </row>
    <row r="3" spans="1:13" x14ac:dyDescent="0.25">
      <c r="A3" s="10"/>
      <c r="B3" s="11"/>
      <c r="C3" s="81" t="s">
        <v>524</v>
      </c>
      <c r="D3" s="12"/>
      <c r="E3" s="12"/>
      <c r="F3" s="12"/>
      <c r="G3" s="13"/>
      <c r="H3" s="13"/>
      <c r="I3" s="13"/>
      <c r="J3" s="13"/>
      <c r="K3" s="13"/>
      <c r="L3" s="13"/>
      <c r="M3" s="78"/>
    </row>
    <row r="4" spans="1:13" x14ac:dyDescent="0.25">
      <c r="A4" s="10"/>
      <c r="B4" s="11"/>
      <c r="C4" s="81"/>
      <c r="D4" s="12"/>
      <c r="E4" s="12"/>
      <c r="F4" s="12"/>
      <c r="G4" s="13"/>
      <c r="H4" s="13"/>
      <c r="I4" s="13"/>
      <c r="J4" s="13"/>
      <c r="K4" s="13"/>
      <c r="L4" s="13"/>
      <c r="M4" s="78"/>
    </row>
    <row r="5" spans="1:13" x14ac:dyDescent="0.25">
      <c r="A5" s="10"/>
      <c r="B5" s="11"/>
      <c r="C5" s="81" t="s">
        <v>525</v>
      </c>
      <c r="D5" s="12"/>
      <c r="E5" s="12"/>
      <c r="F5" s="12"/>
      <c r="G5" s="13"/>
      <c r="H5" s="13"/>
      <c r="I5" s="13"/>
      <c r="J5" s="13"/>
      <c r="K5" s="13"/>
      <c r="L5" s="13"/>
      <c r="M5" s="78"/>
    </row>
    <row r="6" spans="1:13" x14ac:dyDescent="0.25">
      <c r="A6" s="10"/>
      <c r="B6" s="11"/>
      <c r="C6" s="81"/>
      <c r="D6" s="12"/>
      <c r="E6" s="12"/>
      <c r="F6" s="12"/>
      <c r="G6" s="13"/>
      <c r="H6" s="13"/>
      <c r="I6" s="13"/>
      <c r="J6" s="13"/>
      <c r="K6" s="13"/>
      <c r="L6" s="13"/>
      <c r="M6" s="78"/>
    </row>
    <row r="7" spans="1:13" x14ac:dyDescent="0.25">
      <c r="A7" s="10"/>
      <c r="B7" s="11"/>
      <c r="C7" s="81" t="s">
        <v>526</v>
      </c>
      <c r="D7" s="12"/>
      <c r="E7" s="12"/>
      <c r="F7" s="12"/>
      <c r="G7" s="13"/>
      <c r="H7" s="13"/>
      <c r="I7" s="13"/>
      <c r="J7" s="13"/>
      <c r="K7" s="13"/>
      <c r="L7" s="13"/>
      <c r="M7" s="78"/>
    </row>
    <row r="8" spans="1:13" x14ac:dyDescent="0.25">
      <c r="A8" s="10"/>
      <c r="B8" s="11"/>
      <c r="C8" s="81"/>
      <c r="D8" s="12"/>
      <c r="E8" s="12"/>
      <c r="F8" s="12"/>
      <c r="G8" s="13"/>
      <c r="H8" s="13"/>
      <c r="I8" s="13"/>
      <c r="J8" s="13"/>
      <c r="K8" s="13"/>
      <c r="L8" s="13"/>
      <c r="M8" s="78"/>
    </row>
    <row r="9" spans="1:13" x14ac:dyDescent="0.25">
      <c r="A9" s="10"/>
      <c r="B9" s="11"/>
      <c r="C9" s="81" t="s">
        <v>527</v>
      </c>
      <c r="D9" s="12"/>
      <c r="E9" s="12"/>
      <c r="F9" s="12"/>
      <c r="G9" s="13"/>
      <c r="H9" s="13"/>
      <c r="I9" s="13"/>
      <c r="J9" s="13"/>
      <c r="K9" s="13"/>
      <c r="L9" s="13"/>
      <c r="M9" s="78"/>
    </row>
    <row r="10" spans="1:13" x14ac:dyDescent="0.25">
      <c r="A10" s="10"/>
      <c r="B10" s="11"/>
      <c r="C10" s="81"/>
      <c r="D10" s="12"/>
      <c r="E10" s="12"/>
      <c r="F10" s="12"/>
      <c r="G10" s="13"/>
      <c r="H10" s="13"/>
      <c r="I10" s="13"/>
      <c r="J10" s="13"/>
      <c r="K10" s="13"/>
      <c r="L10" s="13"/>
      <c r="M10" s="78"/>
    </row>
    <row r="11" spans="1:13" x14ac:dyDescent="0.25">
      <c r="A11" s="10"/>
      <c r="B11" s="11"/>
      <c r="C11" s="81" t="s">
        <v>528</v>
      </c>
      <c r="D11" s="12"/>
      <c r="E11" s="12"/>
      <c r="F11" s="12"/>
      <c r="G11" s="13"/>
      <c r="H11" s="13"/>
      <c r="I11" s="13"/>
      <c r="J11" s="13"/>
      <c r="K11" s="13"/>
      <c r="L11" s="13"/>
      <c r="M11" s="78"/>
    </row>
    <row r="12" spans="1:13" ht="15.75" thickBot="1" x14ac:dyDescent="0.3">
      <c r="A12" s="14"/>
      <c r="B12" s="15"/>
      <c r="C12" s="11"/>
      <c r="D12" s="16"/>
      <c r="E12" s="16"/>
      <c r="F12" s="16"/>
      <c r="G12" s="13"/>
      <c r="H12" s="13"/>
      <c r="I12" s="13"/>
      <c r="J12" s="13"/>
      <c r="K12" s="13"/>
      <c r="L12" s="13"/>
      <c r="M12" s="78"/>
    </row>
    <row r="13" spans="1:13" ht="15.75" thickBot="1" x14ac:dyDescent="0.3">
      <c r="A13" s="3" t="s">
        <v>137</v>
      </c>
      <c r="B13" s="17"/>
      <c r="C13" s="4"/>
      <c r="D13" s="4"/>
      <c r="E13" s="4"/>
      <c r="F13" s="4"/>
      <c r="G13" s="18"/>
      <c r="H13" s="18"/>
      <c r="I13" s="18"/>
      <c r="J13" s="18"/>
      <c r="K13" s="18"/>
      <c r="L13" s="18"/>
      <c r="M13" s="82"/>
    </row>
    <row r="14" spans="1:13" x14ac:dyDescent="0.25">
      <c r="A14" s="21"/>
      <c r="B14" s="427"/>
      <c r="C14" s="424"/>
      <c r="D14" s="22"/>
      <c r="E14" s="22"/>
      <c r="F14" s="22"/>
      <c r="G14" s="22"/>
    </row>
    <row r="15" spans="1:13" x14ac:dyDescent="0.25">
      <c r="A15" s="21"/>
      <c r="B15" s="425"/>
      <c r="C15" s="426" t="s">
        <v>457</v>
      </c>
      <c r="D15" s="20"/>
      <c r="E15" s="22"/>
      <c r="F15" s="22"/>
      <c r="G15" s="22"/>
    </row>
    <row r="16" spans="1:13" x14ac:dyDescent="0.25">
      <c r="A16" s="21"/>
      <c r="B16" s="425"/>
      <c r="C16" s="108" t="s">
        <v>529</v>
      </c>
      <c r="D16" s="20"/>
      <c r="E16" s="22"/>
      <c r="F16" s="22"/>
      <c r="G16" s="22"/>
    </row>
    <row r="17" spans="1:9" x14ac:dyDescent="0.25">
      <c r="A17" s="23"/>
      <c r="B17" s="428"/>
      <c r="C17" s="28" t="s">
        <v>530</v>
      </c>
      <c r="D17" s="22"/>
      <c r="E17" s="22"/>
      <c r="F17" s="22"/>
      <c r="G17" s="22"/>
      <c r="I17" s="420"/>
    </row>
    <row r="18" spans="1:9" x14ac:dyDescent="0.25">
      <c r="A18" s="21"/>
      <c r="B18" s="427"/>
      <c r="C18" s="28" t="s">
        <v>531</v>
      </c>
      <c r="D18" s="22"/>
    </row>
    <row r="19" spans="1:9" x14ac:dyDescent="0.25">
      <c r="A19" s="21"/>
      <c r="B19" s="427"/>
      <c r="C19" s="24" t="s">
        <v>532</v>
      </c>
      <c r="D19" s="22"/>
      <c r="F19" s="22"/>
      <c r="G19" s="22"/>
    </row>
    <row r="20" spans="1:9" x14ac:dyDescent="0.25">
      <c r="A20" s="21"/>
      <c r="B20" s="427"/>
      <c r="C20" s="24" t="s">
        <v>533</v>
      </c>
      <c r="D20" s="22"/>
      <c r="E20" s="22"/>
      <c r="F20" s="22"/>
      <c r="G20" s="22"/>
    </row>
    <row r="21" spans="1:9" x14ac:dyDescent="0.25">
      <c r="A21" s="21"/>
      <c r="B21" s="429"/>
      <c r="C21" s="94"/>
      <c r="D21" s="20"/>
      <c r="E21" s="22"/>
      <c r="F21" s="22"/>
      <c r="G21" s="25"/>
      <c r="H21" s="25"/>
      <c r="I21" s="26"/>
    </row>
    <row r="22" spans="1:9" x14ac:dyDescent="0.25">
      <c r="B22" s="428"/>
      <c r="C22" s="28" t="s">
        <v>534</v>
      </c>
      <c r="G22" s="25"/>
      <c r="H22" s="25"/>
      <c r="I22" s="26"/>
    </row>
    <row r="23" spans="1:9" x14ac:dyDescent="0.25">
      <c r="B23" s="428"/>
      <c r="C23" s="28"/>
      <c r="G23" s="25"/>
      <c r="H23" s="25"/>
      <c r="I23" s="26"/>
    </row>
    <row r="24" spans="1:9" x14ac:dyDescent="0.25">
      <c r="B24" s="112"/>
      <c r="C24" s="421"/>
      <c r="G24" s="25"/>
      <c r="H24" s="25"/>
      <c r="I24" s="26"/>
    </row>
    <row r="25" spans="1:9" x14ac:dyDescent="0.25">
      <c r="B25" s="112"/>
      <c r="G25" s="25"/>
      <c r="H25" s="25"/>
      <c r="I25" s="26"/>
    </row>
    <row r="26" spans="1:9" x14ac:dyDescent="0.25">
      <c r="G26" s="25"/>
      <c r="H26" s="25"/>
      <c r="I26" s="26"/>
    </row>
    <row r="27" spans="1:9" x14ac:dyDescent="0.25">
      <c r="C27" s="422"/>
      <c r="G27" s="25"/>
      <c r="H27" s="25"/>
      <c r="I27" s="26"/>
    </row>
    <row r="28" spans="1:9" x14ac:dyDescent="0.25">
      <c r="G28" s="27"/>
      <c r="H28" s="25"/>
      <c r="I28" s="27"/>
    </row>
    <row r="29" spans="1:9" x14ac:dyDescent="0.25"/>
    <row r="30" spans="1:9" x14ac:dyDescent="0.25"/>
    <row r="31" spans="1:9" x14ac:dyDescent="0.25"/>
    <row r="32" spans="1: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7" x14ac:dyDescent="0.25"/>
    <row r="66" spans="1:7" x14ac:dyDescent="0.25"/>
    <row r="67" spans="1:7" x14ac:dyDescent="0.25"/>
    <row r="68" spans="1:7" x14ac:dyDescent="0.25"/>
    <row r="69" spans="1:7" x14ac:dyDescent="0.25"/>
    <row r="70" spans="1:7" x14ac:dyDescent="0.25"/>
    <row r="71" spans="1:7" x14ac:dyDescent="0.25"/>
    <row r="72" spans="1:7" x14ac:dyDescent="0.25"/>
    <row r="73" spans="1:7" x14ac:dyDescent="0.25"/>
    <row r="74" spans="1:7" x14ac:dyDescent="0.25"/>
    <row r="75" spans="1:7" x14ac:dyDescent="0.25"/>
    <row r="76" spans="1:7" x14ac:dyDescent="0.25"/>
    <row r="77" spans="1:7" x14ac:dyDescent="0.25"/>
    <row r="78" spans="1:7" x14ac:dyDescent="0.25"/>
    <row r="79" spans="1:7" x14ac:dyDescent="0.25">
      <c r="A79" s="28"/>
      <c r="B79" s="29"/>
      <c r="C79" s="28"/>
      <c r="D79" s="28"/>
      <c r="E79" s="28"/>
      <c r="F79" s="28"/>
      <c r="G79" s="28"/>
    </row>
    <row r="80" spans="1:7" x14ac:dyDescent="0.25">
      <c r="A80" s="28"/>
      <c r="B80" s="29"/>
      <c r="C80" s="28"/>
      <c r="D80" s="28"/>
      <c r="E80" s="28"/>
      <c r="F80" s="28"/>
      <c r="G80" s="28"/>
    </row>
    <row r="81" spans="1:7" x14ac:dyDescent="0.25">
      <c r="A81" s="28"/>
      <c r="B81" s="29"/>
      <c r="C81" s="28"/>
      <c r="D81" s="28"/>
      <c r="E81" s="28"/>
      <c r="F81" s="28"/>
      <c r="G81" s="28"/>
    </row>
    <row r="82" spans="1:7" x14ac:dyDescent="0.25">
      <c r="A82" s="28"/>
      <c r="B82" s="29"/>
      <c r="C82" s="28"/>
      <c r="D82" s="28"/>
      <c r="E82" s="28"/>
      <c r="F82" s="28"/>
      <c r="G82" s="28"/>
    </row>
    <row r="83" spans="1:7" x14ac:dyDescent="0.25">
      <c r="A83" s="28"/>
      <c r="B83" s="29"/>
      <c r="C83" s="28"/>
      <c r="D83" s="28"/>
      <c r="E83" s="28"/>
      <c r="F83" s="28"/>
      <c r="G83" s="28"/>
    </row>
    <row r="84" spans="1:7" x14ac:dyDescent="0.25">
      <c r="A84" s="28"/>
      <c r="B84" s="29"/>
      <c r="C84" s="28"/>
      <c r="D84" s="28"/>
      <c r="E84" s="28"/>
      <c r="F84" s="28"/>
      <c r="G84" s="28"/>
    </row>
    <row r="85" spans="1:7" x14ac:dyDescent="0.25"/>
    <row r="86" spans="1:7" x14ac:dyDescent="0.25"/>
    <row r="87" spans="1:7" x14ac:dyDescent="0.25"/>
    <row r="88" spans="1:7" x14ac:dyDescent="0.25"/>
    <row r="89" spans="1:7" x14ac:dyDescent="0.25"/>
    <row r="90" spans="1:7" x14ac:dyDescent="0.25"/>
    <row r="91" spans="1:7" x14ac:dyDescent="0.25"/>
    <row r="92" spans="1:7" x14ac:dyDescent="0.25"/>
    <row r="93" spans="1:7" x14ac:dyDescent="0.25"/>
    <row r="94" spans="1:7" x14ac:dyDescent="0.25"/>
    <row r="95" spans="1:7" x14ac:dyDescent="0.25"/>
    <row r="96" spans="1:7"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sheetData>
  <sheetProtection formatCells="0" formatColumns="0" formatRows="0" insertHyperlinks="0" sort="0" autoFilter="0" pivotTables="0"/>
  <conditionalFormatting sqref="A79:G84">
    <cfRule type="expression" dxfId="68" priority="9">
      <formula>CELL("protect",A79)=1</formula>
    </cfRule>
  </conditionalFormatting>
  <conditionalFormatting sqref="B15:C16">
    <cfRule type="expression" dxfId="67" priority="1">
      <formula>CELL("protect",B15)=1</formula>
    </cfRule>
  </conditionalFormatting>
  <conditionalFormatting sqref="B21:C21">
    <cfRule type="expression" dxfId="66" priority="3">
      <formula>CELL("protect",B21)=1</formula>
    </cfRule>
  </conditionalFormatting>
  <conditionalFormatting sqref="G21:I28">
    <cfRule type="expression" dxfId="65" priority="5">
      <formula>CELL("protect",G21)=1</formula>
    </cfRule>
  </conditionalFormatting>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L43"/>
  <sheetViews>
    <sheetView topLeftCell="A4" workbookViewId="0">
      <selection activeCell="G38" sqref="G38"/>
    </sheetView>
  </sheetViews>
  <sheetFormatPr defaultColWidth="10.28515625" defaultRowHeight="15" x14ac:dyDescent="0.25"/>
  <cols>
    <col min="1" max="1" width="7.140625" style="61" customWidth="1"/>
    <col min="2" max="7" width="10.28515625" style="61"/>
    <col min="8" max="8" width="11.85546875" style="61" customWidth="1"/>
    <col min="9" max="9" width="12" style="61" customWidth="1"/>
    <col min="10" max="11" width="10.28515625" style="61"/>
    <col min="12" max="12" width="27.28515625" style="61" customWidth="1"/>
    <col min="13" max="16384" width="10.28515625" style="61"/>
  </cols>
  <sheetData>
    <row r="1" spans="1:12" x14ac:dyDescent="0.25">
      <c r="A1" s="387"/>
      <c r="B1" s="388" t="s">
        <v>54</v>
      </c>
      <c r="C1" s="388"/>
      <c r="D1" s="388"/>
      <c r="E1" s="388"/>
      <c r="F1" s="388"/>
      <c r="G1" s="388"/>
      <c r="H1" s="388"/>
      <c r="I1" s="388"/>
      <c r="J1" s="388"/>
      <c r="K1" s="388"/>
      <c r="L1" s="389"/>
    </row>
    <row r="2" spans="1:12" x14ac:dyDescent="0.25">
      <c r="A2" s="390"/>
      <c r="B2" s="391"/>
      <c r="C2" s="391"/>
      <c r="D2" s="388"/>
      <c r="E2" s="388"/>
      <c r="F2" s="388"/>
      <c r="G2" s="388"/>
      <c r="H2" s="388"/>
      <c r="I2" s="388"/>
      <c r="J2" s="388"/>
      <c r="K2" s="388"/>
      <c r="L2" s="389"/>
    </row>
    <row r="3" spans="1:12" x14ac:dyDescent="0.25">
      <c r="A3" s="392"/>
      <c r="B3" s="388" t="s">
        <v>535</v>
      </c>
      <c r="C3" s="388"/>
      <c r="D3" s="388"/>
      <c r="E3" s="388"/>
      <c r="F3" s="388"/>
      <c r="G3" s="388"/>
      <c r="H3" s="388"/>
      <c r="I3" s="388"/>
      <c r="J3" s="388"/>
      <c r="K3" s="388"/>
      <c r="L3" s="389"/>
    </row>
    <row r="4" spans="1:12" x14ac:dyDescent="0.25">
      <c r="A4" s="392"/>
      <c r="B4" s="388" t="s">
        <v>536</v>
      </c>
      <c r="C4" s="388"/>
      <c r="D4" s="388"/>
      <c r="E4" s="388"/>
      <c r="F4" s="388"/>
      <c r="G4" s="388"/>
      <c r="H4" s="388"/>
      <c r="I4" s="388"/>
      <c r="J4" s="388"/>
      <c r="K4" s="388"/>
      <c r="L4" s="389"/>
    </row>
    <row r="5" spans="1:12" x14ac:dyDescent="0.25">
      <c r="A5" s="392"/>
      <c r="B5" s="388"/>
      <c r="C5" s="388"/>
      <c r="D5" s="388"/>
      <c r="E5" s="388"/>
      <c r="F5" s="388"/>
      <c r="G5" s="388"/>
      <c r="H5" s="393" t="s">
        <v>537</v>
      </c>
      <c r="I5" s="393" t="s">
        <v>538</v>
      </c>
      <c r="J5" s="388"/>
      <c r="K5" s="388"/>
      <c r="L5" s="389"/>
    </row>
    <row r="6" spans="1:12" x14ac:dyDescent="0.25">
      <c r="A6" s="392"/>
      <c r="B6" s="394" t="s">
        <v>539</v>
      </c>
      <c r="C6" s="395"/>
      <c r="D6" s="395"/>
      <c r="E6" s="395"/>
      <c r="F6" s="395"/>
      <c r="G6" s="395"/>
      <c r="H6" s="396">
        <v>0.04</v>
      </c>
      <c r="I6" s="397">
        <v>4.2500000000000003E-2</v>
      </c>
      <c r="J6" s="388"/>
      <c r="K6" s="388"/>
      <c r="L6" s="389"/>
    </row>
    <row r="7" spans="1:12" x14ac:dyDescent="0.25">
      <c r="A7" s="392"/>
      <c r="B7" s="398" t="s">
        <v>540</v>
      </c>
      <c r="C7" s="388"/>
      <c r="D7" s="388"/>
      <c r="E7" s="388"/>
      <c r="F7" s="388"/>
      <c r="G7" s="388"/>
      <c r="H7" s="399">
        <v>5.0000000000000001E-3</v>
      </c>
      <c r="I7" s="400">
        <v>7.4999999999999997E-3</v>
      </c>
      <c r="J7" s="388"/>
      <c r="K7" s="388"/>
      <c r="L7" s="389"/>
    </row>
    <row r="8" spans="1:12" x14ac:dyDescent="0.25">
      <c r="A8" s="392"/>
      <c r="B8" s="398" t="s">
        <v>541</v>
      </c>
      <c r="C8" s="388"/>
      <c r="D8" s="388"/>
      <c r="E8" s="388"/>
      <c r="F8" s="388"/>
      <c r="G8" s="388"/>
      <c r="H8" s="399">
        <v>7.4999999999999997E-3</v>
      </c>
      <c r="I8" s="400">
        <v>0.01</v>
      </c>
      <c r="J8" s="388"/>
      <c r="K8" s="388"/>
      <c r="L8" s="389"/>
    </row>
    <row r="9" spans="1:12" x14ac:dyDescent="0.25">
      <c r="A9" s="392"/>
      <c r="B9" s="401" t="s">
        <v>542</v>
      </c>
      <c r="C9" s="402"/>
      <c r="D9" s="402"/>
      <c r="E9" s="402"/>
      <c r="F9" s="402"/>
      <c r="G9" s="402"/>
      <c r="H9" s="403">
        <v>0.06</v>
      </c>
      <c r="I9" s="404"/>
      <c r="J9" s="388"/>
      <c r="K9" s="388"/>
      <c r="L9" s="389"/>
    </row>
    <row r="10" spans="1:12" x14ac:dyDescent="0.25">
      <c r="A10" s="392"/>
      <c r="B10" s="388"/>
      <c r="C10" s="388"/>
      <c r="D10" s="388"/>
      <c r="E10" s="388"/>
      <c r="F10" s="388"/>
      <c r="G10" s="388"/>
      <c r="H10" s="405"/>
      <c r="I10" s="405"/>
      <c r="J10" s="388"/>
      <c r="K10" s="388"/>
      <c r="L10" s="389"/>
    </row>
    <row r="11" spans="1:12" x14ac:dyDescent="0.25">
      <c r="A11" s="406" t="s">
        <v>13</v>
      </c>
      <c r="B11" s="388" t="s">
        <v>0</v>
      </c>
      <c r="C11" s="388" t="s">
        <v>543</v>
      </c>
      <c r="D11" s="388"/>
      <c r="E11" s="388"/>
      <c r="F11" s="388"/>
      <c r="G11" s="388"/>
      <c r="H11" s="388"/>
      <c r="I11" s="388"/>
      <c r="J11" s="388"/>
      <c r="K11" s="388"/>
      <c r="L11" s="389"/>
    </row>
    <row r="12" spans="1:12" x14ac:dyDescent="0.25">
      <c r="A12" s="406"/>
      <c r="B12" s="388"/>
      <c r="C12" s="388"/>
      <c r="D12" s="388"/>
      <c r="E12" s="388"/>
      <c r="F12" s="388"/>
      <c r="G12" s="388"/>
      <c r="H12" s="388"/>
      <c r="I12" s="388"/>
      <c r="J12" s="388"/>
      <c r="K12" s="388"/>
      <c r="L12" s="389"/>
    </row>
    <row r="13" spans="1:12" x14ac:dyDescent="0.25">
      <c r="A13" s="406" t="s">
        <v>27</v>
      </c>
      <c r="B13" s="388" t="s">
        <v>25</v>
      </c>
      <c r="C13" s="388" t="s">
        <v>544</v>
      </c>
      <c r="D13" s="388"/>
      <c r="E13" s="388"/>
      <c r="F13" s="388"/>
      <c r="G13" s="388"/>
      <c r="H13" s="388"/>
      <c r="I13" s="388"/>
      <c r="J13" s="388"/>
      <c r="K13" s="388"/>
      <c r="L13" s="389"/>
    </row>
    <row r="14" spans="1:12" x14ac:dyDescent="0.25">
      <c r="A14" s="406"/>
      <c r="B14" s="388"/>
      <c r="C14" s="388"/>
      <c r="D14" s="388"/>
      <c r="E14" s="388"/>
      <c r="F14" s="388"/>
      <c r="G14" s="388"/>
      <c r="H14" s="388"/>
      <c r="I14" s="388"/>
      <c r="J14" s="388"/>
      <c r="K14" s="388"/>
      <c r="L14" s="389"/>
    </row>
    <row r="15" spans="1:12" x14ac:dyDescent="0.25">
      <c r="A15" s="406" t="s">
        <v>133</v>
      </c>
      <c r="B15" s="388" t="s">
        <v>25</v>
      </c>
      <c r="C15" s="388" t="s">
        <v>545</v>
      </c>
      <c r="D15" s="388"/>
      <c r="E15" s="388"/>
      <c r="F15" s="388"/>
      <c r="G15" s="388"/>
      <c r="H15" s="388"/>
      <c r="I15" s="388"/>
      <c r="J15" s="388"/>
      <c r="K15" s="388"/>
      <c r="L15" s="389"/>
    </row>
    <row r="16" spans="1:12" ht="15.75" thickBot="1" x14ac:dyDescent="0.3">
      <c r="A16" s="407"/>
      <c r="B16" s="388"/>
      <c r="C16" s="388"/>
      <c r="D16" s="388"/>
      <c r="E16" s="388"/>
      <c r="F16" s="388"/>
      <c r="G16" s="388"/>
      <c r="H16" s="388"/>
      <c r="I16" s="388"/>
      <c r="J16" s="388"/>
      <c r="K16" s="388"/>
      <c r="L16" s="389"/>
    </row>
    <row r="17" spans="1:12" ht="15.75" thickBot="1" x14ac:dyDescent="0.3">
      <c r="A17" s="3" t="s">
        <v>137</v>
      </c>
      <c r="B17" s="90"/>
      <c r="C17" s="4"/>
      <c r="D17" s="4"/>
      <c r="E17" s="4"/>
      <c r="F17" s="4"/>
      <c r="G17" s="4"/>
      <c r="H17" s="4"/>
      <c r="I17" s="4"/>
      <c r="J17" s="4"/>
      <c r="K17" s="4"/>
      <c r="L17" s="358"/>
    </row>
    <row r="19" spans="1:12" x14ac:dyDescent="0.25">
      <c r="B19" s="61" t="s">
        <v>89</v>
      </c>
      <c r="C19" s="61" t="s">
        <v>546</v>
      </c>
    </row>
    <row r="20" spans="1:12" x14ac:dyDescent="0.25">
      <c r="B20" s="61" t="s">
        <v>547</v>
      </c>
    </row>
    <row r="21" spans="1:12" x14ac:dyDescent="0.25">
      <c r="A21" s="61">
        <v>0.25</v>
      </c>
      <c r="B21" s="61" t="s">
        <v>548</v>
      </c>
      <c r="D21" s="408">
        <f>H9-H7-H8</f>
        <v>4.7500000000000001E-2</v>
      </c>
    </row>
    <row r="23" spans="1:12" x14ac:dyDescent="0.25">
      <c r="B23" s="61" t="s">
        <v>549</v>
      </c>
    </row>
    <row r="24" spans="1:12" x14ac:dyDescent="0.25">
      <c r="A24" s="61">
        <v>0.25</v>
      </c>
      <c r="B24" s="61" t="s">
        <v>550</v>
      </c>
      <c r="F24" s="408">
        <f>D21-H6</f>
        <v>7.4999999999999997E-3</v>
      </c>
    </row>
    <row r="26" spans="1:12" x14ac:dyDescent="0.25">
      <c r="A26" s="61">
        <v>0.25</v>
      </c>
      <c r="B26" s="61" t="s">
        <v>551</v>
      </c>
      <c r="E26" s="408">
        <f>I6+F24</f>
        <v>0.05</v>
      </c>
    </row>
    <row r="28" spans="1:12" x14ac:dyDescent="0.25">
      <c r="B28" s="61" t="s">
        <v>27</v>
      </c>
      <c r="C28" s="61" t="s">
        <v>552</v>
      </c>
    </row>
    <row r="29" spans="1:12" x14ac:dyDescent="0.25">
      <c r="A29" s="61">
        <v>0.25</v>
      </c>
      <c r="B29" s="61" t="s">
        <v>553</v>
      </c>
    </row>
    <row r="30" spans="1:12" x14ac:dyDescent="0.25">
      <c r="A30" s="61">
        <v>0.25</v>
      </c>
      <c r="B30" s="61" t="s">
        <v>554</v>
      </c>
    </row>
    <row r="32" spans="1:12" x14ac:dyDescent="0.25">
      <c r="B32" s="61" t="s">
        <v>133</v>
      </c>
      <c r="C32" s="61" t="s">
        <v>555</v>
      </c>
    </row>
    <row r="33" spans="1:2" x14ac:dyDescent="0.25">
      <c r="B33" s="423" t="s">
        <v>556</v>
      </c>
    </row>
    <row r="34" spans="1:2" x14ac:dyDescent="0.25">
      <c r="A34" s="61">
        <v>0.25</v>
      </c>
      <c r="B34" s="61" t="s">
        <v>557</v>
      </c>
    </row>
    <row r="35" spans="1:2" x14ac:dyDescent="0.25">
      <c r="B35" s="61" t="s">
        <v>558</v>
      </c>
    </row>
    <row r="36" spans="1:2" x14ac:dyDescent="0.25">
      <c r="B36" s="61" t="s">
        <v>559</v>
      </c>
    </row>
    <row r="38" spans="1:2" x14ac:dyDescent="0.25">
      <c r="A38" s="61">
        <v>0.25</v>
      </c>
      <c r="B38" s="61" t="s">
        <v>560</v>
      </c>
    </row>
    <row r="39" spans="1:2" x14ac:dyDescent="0.25">
      <c r="B39" s="61" t="s">
        <v>561</v>
      </c>
    </row>
    <row r="41" spans="1:2" x14ac:dyDescent="0.25">
      <c r="B41" s="61" t="s">
        <v>562</v>
      </c>
    </row>
    <row r="42" spans="1:2" x14ac:dyDescent="0.25">
      <c r="B42" s="61" t="s">
        <v>563</v>
      </c>
    </row>
    <row r="43" spans="1:2" x14ac:dyDescent="0.25">
      <c r="B43" s="61" t="s">
        <v>564</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N167"/>
  <sheetViews>
    <sheetView workbookViewId="0">
      <selection activeCell="G38" sqref="G38"/>
    </sheetView>
  </sheetViews>
  <sheetFormatPr defaultColWidth="0" defaultRowHeight="0" customHeight="1" zeroHeight="1" x14ac:dyDescent="0.25"/>
  <cols>
    <col min="1" max="1" width="5.7109375" style="79" customWidth="1"/>
    <col min="2" max="2" width="9.7109375" style="83" customWidth="1"/>
    <col min="3" max="3" width="15.7109375" style="79" customWidth="1"/>
    <col min="4" max="4" width="17.42578125" style="79" customWidth="1"/>
    <col min="5" max="5" width="16" style="79" customWidth="1"/>
    <col min="6" max="6" width="13.7109375" style="79" customWidth="1"/>
    <col min="7" max="7" width="25.28515625" style="79" customWidth="1"/>
    <col min="8" max="8" width="26.7109375" style="79" customWidth="1"/>
    <col min="9" max="40" width="10.7109375" style="79" customWidth="1"/>
    <col min="41" max="16384" width="10.7109375" style="79" hidden="1"/>
  </cols>
  <sheetData>
    <row r="1" spans="1:18" ht="15" x14ac:dyDescent="0.25">
      <c r="A1" s="409"/>
      <c r="B1" s="7" t="s">
        <v>0</v>
      </c>
      <c r="C1" s="8"/>
      <c r="D1" s="8"/>
      <c r="E1" s="8"/>
      <c r="F1" s="8"/>
      <c r="G1" s="8"/>
      <c r="H1" s="84"/>
    </row>
    <row r="2" spans="1:18" ht="15" customHeight="1" x14ac:dyDescent="0.25">
      <c r="A2" s="14"/>
      <c r="B2" s="410"/>
      <c r="C2" s="410"/>
      <c r="D2" s="410"/>
      <c r="E2" s="410"/>
      <c r="F2" s="410"/>
      <c r="G2" s="410"/>
      <c r="H2" s="411"/>
    </row>
    <row r="3" spans="1:18" ht="15" x14ac:dyDescent="0.25">
      <c r="A3" s="7"/>
      <c r="B3" s="7"/>
      <c r="C3" s="8" t="s">
        <v>565</v>
      </c>
      <c r="D3" s="410"/>
      <c r="E3" s="410"/>
      <c r="F3" s="410"/>
      <c r="G3" s="410"/>
      <c r="H3" s="411"/>
    </row>
    <row r="4" spans="1:18" ht="15" x14ac:dyDescent="0.25">
      <c r="A4" s="10"/>
      <c r="B4" s="11"/>
      <c r="C4" s="410"/>
      <c r="D4" s="410"/>
      <c r="E4" s="410"/>
      <c r="F4" s="410"/>
      <c r="G4" s="410"/>
      <c r="H4" s="411"/>
    </row>
    <row r="5" spans="1:18" ht="14.45" customHeight="1" x14ac:dyDescent="0.25">
      <c r="A5" s="7"/>
      <c r="B5" s="7"/>
      <c r="C5" s="8" t="s">
        <v>566</v>
      </c>
      <c r="D5" s="8"/>
      <c r="E5" s="8"/>
      <c r="F5" s="8"/>
      <c r="G5" s="8"/>
      <c r="H5" s="412"/>
    </row>
    <row r="6" spans="1:18" ht="14.45" customHeight="1" x14ac:dyDescent="0.25">
      <c r="A6" s="7"/>
      <c r="B6" s="7"/>
      <c r="C6" s="8" t="s">
        <v>567</v>
      </c>
      <c r="D6" s="8"/>
      <c r="E6" s="8"/>
      <c r="F6" s="8"/>
      <c r="G6" s="8"/>
      <c r="H6" s="412"/>
    </row>
    <row r="7" spans="1:18" ht="14.45" customHeight="1" x14ac:dyDescent="0.25">
      <c r="A7" s="7"/>
      <c r="B7" s="7"/>
      <c r="C7" s="8" t="s">
        <v>568</v>
      </c>
      <c r="D7" s="8"/>
      <c r="E7" s="8"/>
      <c r="F7" s="8"/>
      <c r="G7" s="8"/>
      <c r="H7" s="412"/>
    </row>
    <row r="8" spans="1:18" ht="15.75" thickBot="1" x14ac:dyDescent="0.3">
      <c r="A8" s="10"/>
      <c r="B8" s="11"/>
      <c r="C8" s="413"/>
      <c r="D8" s="413"/>
      <c r="E8" s="413"/>
      <c r="F8" s="413"/>
      <c r="G8" s="413"/>
      <c r="H8" s="414"/>
    </row>
    <row r="9" spans="1:18" ht="15.75" thickBot="1" x14ac:dyDescent="0.3">
      <c r="A9" s="3" t="s">
        <v>137</v>
      </c>
      <c r="B9" s="90"/>
      <c r="C9" s="4"/>
      <c r="D9" s="4"/>
      <c r="E9" s="4"/>
      <c r="F9" s="4"/>
      <c r="G9" s="18"/>
      <c r="H9" s="91"/>
    </row>
    <row r="10" spans="1:18" ht="15" x14ac:dyDescent="0.25">
      <c r="A10" s="19"/>
      <c r="C10" s="20"/>
      <c r="D10" s="20"/>
      <c r="E10" s="20"/>
      <c r="F10" s="20"/>
      <c r="G10" s="20"/>
    </row>
    <row r="11" spans="1:18" ht="15" x14ac:dyDescent="0.25">
      <c r="A11" s="415"/>
      <c r="B11" s="415" t="s">
        <v>569</v>
      </c>
      <c r="C11" s="415"/>
      <c r="D11" s="416"/>
      <c r="E11" s="416"/>
      <c r="F11" s="416"/>
      <c r="G11" s="416"/>
      <c r="H11" s="416"/>
      <c r="I11" s="416"/>
      <c r="J11" s="416"/>
      <c r="K11" s="416"/>
      <c r="L11" s="416"/>
      <c r="M11" s="416"/>
      <c r="N11" s="416"/>
      <c r="O11" s="416"/>
      <c r="P11"/>
      <c r="Q11"/>
      <c r="R11"/>
    </row>
    <row r="12" spans="1:18" ht="15" x14ac:dyDescent="0.25">
      <c r="A12" s="415">
        <v>0.25</v>
      </c>
      <c r="B12" s="415" t="s">
        <v>570</v>
      </c>
      <c r="C12" s="415"/>
      <c r="D12" s="416"/>
      <c r="E12" s="416"/>
      <c r="F12" s="416"/>
      <c r="G12" s="416"/>
      <c r="H12" s="416"/>
      <c r="I12" s="416"/>
      <c r="J12" s="416"/>
      <c r="K12" s="416"/>
      <c r="L12" s="416"/>
      <c r="M12" s="416"/>
      <c r="N12" s="416"/>
      <c r="O12" s="416"/>
      <c r="P12"/>
      <c r="Q12"/>
      <c r="R12"/>
    </row>
    <row r="13" spans="1:18" ht="15" x14ac:dyDescent="0.25">
      <c r="A13" s="415"/>
      <c r="B13" s="415" t="s">
        <v>571</v>
      </c>
      <c r="C13" s="415"/>
      <c r="D13" s="416"/>
      <c r="E13" s="416"/>
      <c r="F13" s="416"/>
      <c r="G13" s="416"/>
      <c r="H13" s="416"/>
      <c r="I13" s="416"/>
      <c r="J13" s="416"/>
      <c r="K13" s="416"/>
      <c r="L13" s="416"/>
      <c r="M13" s="416"/>
      <c r="N13" s="416"/>
      <c r="O13" s="416"/>
      <c r="P13"/>
      <c r="Q13"/>
      <c r="R13"/>
    </row>
    <row r="14" spans="1:18" ht="15" x14ac:dyDescent="0.25">
      <c r="A14" s="415"/>
      <c r="B14" s="415"/>
      <c r="C14" s="415"/>
      <c r="D14" s="416"/>
      <c r="E14" s="416"/>
      <c r="F14" s="416"/>
      <c r="G14" s="416"/>
      <c r="H14" s="416"/>
      <c r="I14" s="416"/>
      <c r="J14" s="416"/>
      <c r="K14" s="416"/>
      <c r="L14" s="416"/>
      <c r="M14" s="416"/>
      <c r="N14" s="416"/>
      <c r="O14" s="416"/>
      <c r="P14"/>
      <c r="Q14"/>
      <c r="R14"/>
    </row>
    <row r="15" spans="1:18" ht="15" x14ac:dyDescent="0.25">
      <c r="A15" s="415"/>
      <c r="B15" s="415" t="s">
        <v>572</v>
      </c>
      <c r="C15" s="415"/>
      <c r="D15" s="416"/>
      <c r="E15" s="416"/>
      <c r="F15" s="416"/>
      <c r="G15" s="416"/>
      <c r="H15" s="416"/>
      <c r="I15" s="416"/>
      <c r="J15" s="416"/>
      <c r="K15" s="416"/>
      <c r="L15" s="416"/>
      <c r="M15" s="416"/>
      <c r="N15" s="416"/>
      <c r="O15" s="416"/>
      <c r="P15"/>
      <c r="Q15"/>
      <c r="R15"/>
    </row>
    <row r="16" spans="1:18" ht="15" x14ac:dyDescent="0.25">
      <c r="A16" s="415">
        <v>0.25</v>
      </c>
      <c r="B16" s="415" t="s">
        <v>573</v>
      </c>
      <c r="C16" s="415"/>
      <c r="D16" s="416"/>
      <c r="E16" s="416"/>
      <c r="F16" s="416"/>
      <c r="G16" s="416"/>
      <c r="H16" s="416"/>
      <c r="I16" s="416"/>
      <c r="J16" s="416"/>
      <c r="K16" s="416"/>
      <c r="L16" s="416"/>
      <c r="M16" s="416"/>
      <c r="N16" s="416"/>
      <c r="O16" s="416"/>
      <c r="P16"/>
      <c r="Q16"/>
      <c r="R16"/>
    </row>
    <row r="17" spans="1:18" ht="15" x14ac:dyDescent="0.25">
      <c r="A17" s="415"/>
      <c r="B17" s="415" t="s">
        <v>574</v>
      </c>
      <c r="C17" s="415"/>
      <c r="D17" s="416"/>
      <c r="E17" s="416"/>
      <c r="F17" s="416"/>
      <c r="G17" s="416"/>
      <c r="H17" s="416"/>
      <c r="I17" s="416"/>
      <c r="J17" s="416"/>
      <c r="K17" s="416"/>
      <c r="L17" s="416"/>
      <c r="M17" s="416"/>
      <c r="N17" s="416"/>
      <c r="O17" s="416"/>
      <c r="P17"/>
      <c r="Q17"/>
      <c r="R17"/>
    </row>
    <row r="18" spans="1:18" ht="15" x14ac:dyDescent="0.25">
      <c r="A18" s="415"/>
      <c r="B18" s="415"/>
      <c r="C18" s="415"/>
      <c r="D18" s="416"/>
      <c r="E18" s="416"/>
      <c r="F18" s="416"/>
      <c r="G18" s="416"/>
      <c r="H18" s="416"/>
      <c r="I18" s="416"/>
      <c r="J18" s="416"/>
      <c r="K18" s="416"/>
      <c r="L18" s="416"/>
      <c r="M18" s="416"/>
      <c r="N18" s="416"/>
      <c r="O18" s="416"/>
      <c r="P18"/>
      <c r="Q18"/>
      <c r="R18"/>
    </row>
    <row r="19" spans="1:18" ht="15" x14ac:dyDescent="0.25">
      <c r="A19" s="415"/>
      <c r="B19" s="415" t="s">
        <v>575</v>
      </c>
      <c r="C19" s="415"/>
      <c r="D19" s="416"/>
      <c r="E19" s="416"/>
      <c r="F19" s="416"/>
      <c r="G19" s="416"/>
      <c r="H19" s="416"/>
      <c r="I19" s="416"/>
      <c r="J19" s="416"/>
      <c r="K19" s="416"/>
      <c r="L19" s="416"/>
      <c r="M19" s="416"/>
      <c r="N19" s="416"/>
      <c r="O19" s="416"/>
      <c r="P19"/>
      <c r="Q19"/>
      <c r="R19"/>
    </row>
    <row r="20" spans="1:18" ht="15" x14ac:dyDescent="0.25">
      <c r="A20" s="415">
        <v>0.25</v>
      </c>
      <c r="B20" s="415" t="s">
        <v>576</v>
      </c>
      <c r="C20" s="415"/>
      <c r="D20" s="416"/>
      <c r="E20" s="416"/>
      <c r="F20" s="416"/>
      <c r="G20" s="416"/>
      <c r="H20" s="416"/>
      <c r="I20" s="416"/>
      <c r="J20" s="416"/>
      <c r="K20" s="416"/>
      <c r="L20" s="416"/>
      <c r="M20" s="416"/>
      <c r="N20" s="416"/>
      <c r="O20" s="416"/>
      <c r="P20"/>
      <c r="Q20"/>
      <c r="R20"/>
    </row>
    <row r="21" spans="1:18" ht="15" x14ac:dyDescent="0.25">
      <c r="A21" s="415"/>
      <c r="B21" s="415" t="s">
        <v>577</v>
      </c>
      <c r="C21" s="415"/>
      <c r="D21" s="416"/>
      <c r="E21" s="416"/>
      <c r="F21" s="416"/>
      <c r="G21" s="416"/>
      <c r="H21" s="416"/>
      <c r="I21" s="416"/>
      <c r="J21" s="416"/>
      <c r="K21" s="416"/>
      <c r="L21" s="416"/>
      <c r="M21" s="416"/>
      <c r="N21" s="416"/>
      <c r="O21" s="416"/>
      <c r="P21"/>
      <c r="Q21"/>
      <c r="R21"/>
    </row>
    <row r="22" spans="1:18" ht="15" x14ac:dyDescent="0.25">
      <c r="A22" s="415"/>
      <c r="B22" s="415" t="s">
        <v>578</v>
      </c>
      <c r="C22" s="415"/>
      <c r="D22" s="416"/>
      <c r="E22" s="416"/>
      <c r="F22" s="416"/>
      <c r="G22" s="416"/>
      <c r="H22" s="416"/>
      <c r="I22" s="416"/>
      <c r="J22" s="416"/>
      <c r="K22" s="416"/>
      <c r="L22" s="416"/>
      <c r="M22" s="416"/>
      <c r="N22" s="416"/>
      <c r="O22" s="416"/>
      <c r="P22"/>
      <c r="Q22"/>
      <c r="R22"/>
    </row>
    <row r="23" spans="1:18" ht="15" x14ac:dyDescent="0.25">
      <c r="A23" s="415"/>
      <c r="B23" s="415"/>
      <c r="C23" s="415"/>
      <c r="D23" s="416"/>
      <c r="E23" s="416"/>
      <c r="F23" s="416"/>
      <c r="G23" s="416"/>
      <c r="H23" s="416"/>
      <c r="I23" s="416"/>
      <c r="J23" s="416"/>
      <c r="K23" s="416"/>
      <c r="L23" s="416"/>
      <c r="M23" s="416"/>
      <c r="N23" s="416"/>
      <c r="O23" s="416"/>
      <c r="P23"/>
      <c r="Q23"/>
      <c r="R23"/>
    </row>
    <row r="24" spans="1:18" ht="15" x14ac:dyDescent="0.25">
      <c r="A24" s="416"/>
      <c r="B24" s="416"/>
      <c r="C24" s="416"/>
      <c r="D24" s="416"/>
      <c r="E24" s="416"/>
      <c r="F24" s="416"/>
      <c r="G24" s="416"/>
      <c r="H24" s="416"/>
      <c r="I24" s="416"/>
      <c r="J24" s="416"/>
      <c r="K24" s="416"/>
      <c r="L24" s="416"/>
      <c r="M24" s="416"/>
      <c r="N24" s="416"/>
      <c r="O24" s="416"/>
      <c r="P24"/>
      <c r="Q24"/>
      <c r="R24"/>
    </row>
    <row r="25" spans="1:18" ht="15" x14ac:dyDescent="0.25">
      <c r="A25" s="416"/>
      <c r="B25" s="416"/>
      <c r="C25" s="416"/>
      <c r="D25" s="416"/>
      <c r="E25" s="416"/>
      <c r="F25" s="416"/>
      <c r="G25" s="416"/>
      <c r="H25" s="416"/>
      <c r="I25" s="416"/>
      <c r="J25" s="416"/>
      <c r="K25" s="416"/>
      <c r="L25" s="416"/>
      <c r="M25" s="416"/>
      <c r="N25" s="416"/>
      <c r="O25" s="416"/>
      <c r="P25"/>
      <c r="Q25"/>
      <c r="R25"/>
    </row>
    <row r="26" spans="1:18" ht="15" x14ac:dyDescent="0.25">
      <c r="A26" s="416"/>
      <c r="B26" s="416"/>
      <c r="C26" s="416"/>
      <c r="D26" s="416"/>
      <c r="E26" s="416"/>
      <c r="F26" s="416"/>
      <c r="G26" s="416"/>
      <c r="H26" s="416"/>
      <c r="I26" s="416"/>
      <c r="J26" s="416"/>
      <c r="K26" s="416"/>
      <c r="L26" s="416"/>
      <c r="M26" s="416"/>
      <c r="N26" s="416"/>
      <c r="O26" s="416"/>
      <c r="P26"/>
      <c r="Q26"/>
      <c r="R26"/>
    </row>
    <row r="27" spans="1:18" ht="15" x14ac:dyDescent="0.25">
      <c r="A27" s="416"/>
      <c r="B27" s="416"/>
      <c r="C27" s="416"/>
      <c r="D27" s="416"/>
      <c r="E27" s="416"/>
      <c r="F27" s="416"/>
      <c r="G27" s="416"/>
      <c r="H27" s="416"/>
      <c r="I27" s="416"/>
      <c r="J27" s="416"/>
      <c r="K27" s="416"/>
      <c r="L27" s="416"/>
      <c r="M27" s="416"/>
      <c r="N27" s="416"/>
      <c r="O27" s="416"/>
      <c r="P27"/>
      <c r="Q27"/>
      <c r="R27"/>
    </row>
    <row r="28" spans="1:18" ht="15" x14ac:dyDescent="0.25">
      <c r="A28" s="416"/>
      <c r="B28" s="416"/>
      <c r="C28" s="416"/>
      <c r="D28" s="416"/>
      <c r="E28" s="416"/>
      <c r="F28" s="416"/>
      <c r="G28" s="416"/>
      <c r="H28" s="416"/>
      <c r="I28" s="416"/>
      <c r="J28" s="416"/>
      <c r="K28" s="416"/>
      <c r="L28" s="416"/>
      <c r="M28" s="416"/>
      <c r="N28" s="416"/>
      <c r="O28" s="416"/>
      <c r="P28"/>
      <c r="Q28"/>
      <c r="R28"/>
    </row>
    <row r="29" spans="1:18" ht="15" x14ac:dyDescent="0.25">
      <c r="A29" s="416"/>
      <c r="B29" s="416"/>
      <c r="C29" s="416"/>
      <c r="D29" s="416"/>
      <c r="E29" s="416"/>
      <c r="F29" s="416"/>
      <c r="G29" s="416"/>
      <c r="H29" s="416"/>
      <c r="I29" s="416"/>
      <c r="J29" s="416"/>
      <c r="K29" s="416"/>
      <c r="L29" s="416"/>
      <c r="M29" s="416"/>
      <c r="N29" s="416"/>
      <c r="O29" s="416"/>
      <c r="P29"/>
      <c r="Q29"/>
      <c r="R29"/>
    </row>
    <row r="30" spans="1:18" ht="15" x14ac:dyDescent="0.25">
      <c r="A30" s="416"/>
      <c r="B30" s="416"/>
      <c r="C30" s="416"/>
      <c r="D30" s="416"/>
      <c r="E30" s="416"/>
      <c r="F30" s="416"/>
      <c r="G30" s="416"/>
      <c r="H30" s="416"/>
      <c r="I30" s="416"/>
      <c r="J30" s="416"/>
      <c r="K30" s="416"/>
      <c r="L30" s="416"/>
      <c r="M30" s="416"/>
      <c r="N30" s="416"/>
      <c r="O30" s="416"/>
      <c r="P30"/>
      <c r="Q30"/>
      <c r="R30"/>
    </row>
    <row r="31" spans="1:18" ht="15" x14ac:dyDescent="0.25">
      <c r="A31" s="416"/>
      <c r="B31" s="416"/>
      <c r="C31" s="416"/>
      <c r="D31" s="416"/>
      <c r="E31" s="416"/>
      <c r="F31" s="416"/>
      <c r="G31" s="416"/>
      <c r="H31" s="416"/>
      <c r="I31" s="416"/>
      <c r="J31" s="416"/>
      <c r="K31" s="416"/>
      <c r="L31" s="416"/>
      <c r="M31" s="416"/>
      <c r="N31" s="416"/>
      <c r="O31" s="416"/>
      <c r="P31"/>
      <c r="Q31"/>
      <c r="R31"/>
    </row>
    <row r="32" spans="1:18" ht="15" x14ac:dyDescent="0.25">
      <c r="A32" s="416"/>
      <c r="B32" s="416"/>
      <c r="C32" s="416"/>
      <c r="D32" s="416"/>
      <c r="E32" s="416"/>
      <c r="F32" s="416"/>
      <c r="G32" s="416"/>
      <c r="H32" s="416"/>
      <c r="I32" s="416"/>
      <c r="J32" s="416"/>
      <c r="K32" s="416"/>
      <c r="L32" s="416"/>
      <c r="M32" s="416"/>
      <c r="N32" s="416"/>
      <c r="O32" s="416"/>
      <c r="P32"/>
      <c r="Q32"/>
      <c r="R32"/>
    </row>
    <row r="33" spans="1:18" ht="15" x14ac:dyDescent="0.25">
      <c r="A33" s="416"/>
      <c r="B33" s="416"/>
      <c r="C33" s="416"/>
      <c r="D33" s="416"/>
      <c r="E33" s="416"/>
      <c r="F33" s="416"/>
      <c r="G33" s="416"/>
      <c r="H33" s="416"/>
      <c r="I33" s="416"/>
      <c r="J33" s="416"/>
      <c r="K33" s="416"/>
      <c r="L33" s="416"/>
      <c r="M33" s="416"/>
      <c r="N33" s="416"/>
      <c r="O33" s="416"/>
      <c r="P33"/>
      <c r="Q33"/>
      <c r="R33"/>
    </row>
    <row r="34" spans="1:18" ht="15" x14ac:dyDescent="0.25">
      <c r="A34" s="416"/>
      <c r="B34" s="416"/>
      <c r="C34" s="416"/>
      <c r="D34" s="416"/>
      <c r="E34" s="416"/>
      <c r="F34" s="416"/>
      <c r="G34" s="416"/>
      <c r="H34" s="416"/>
      <c r="I34" s="416"/>
      <c r="J34" s="416"/>
      <c r="K34" s="416"/>
      <c r="L34" s="416"/>
      <c r="M34" s="416"/>
      <c r="N34" s="416"/>
      <c r="O34" s="416"/>
      <c r="P34"/>
      <c r="Q34"/>
      <c r="R34"/>
    </row>
    <row r="35" spans="1:18" ht="15" x14ac:dyDescent="0.25">
      <c r="A35" s="416"/>
      <c r="B35" s="416"/>
      <c r="C35" s="416"/>
      <c r="D35" s="416"/>
      <c r="E35" s="416"/>
      <c r="F35" s="416"/>
      <c r="G35" s="416"/>
      <c r="H35" s="416"/>
      <c r="I35" s="416"/>
      <c r="J35" s="416"/>
      <c r="K35" s="416"/>
      <c r="L35" s="416"/>
      <c r="M35" s="416"/>
      <c r="N35" s="416"/>
      <c r="O35" s="416"/>
      <c r="P35"/>
      <c r="Q35"/>
      <c r="R35"/>
    </row>
    <row r="36" spans="1:18" ht="15" x14ac:dyDescent="0.25">
      <c r="B36" s="417"/>
      <c r="C36" s="417"/>
      <c r="D36" s="417"/>
      <c r="E36" s="417"/>
      <c r="F36" s="417"/>
      <c r="G36" s="417"/>
      <c r="H36" s="417"/>
      <c r="I36" s="417"/>
      <c r="J36" s="417"/>
      <c r="K36" s="417"/>
      <c r="L36" s="417"/>
      <c r="M36" s="417"/>
      <c r="N36" s="417"/>
      <c r="O36" s="417"/>
      <c r="P36" s="417"/>
      <c r="Q36" s="417"/>
      <c r="R36" s="417"/>
    </row>
    <row r="37" spans="1:18" ht="15" x14ac:dyDescent="0.25">
      <c r="B37" s="417"/>
      <c r="C37" s="417"/>
      <c r="D37" s="417"/>
      <c r="E37" s="417"/>
      <c r="F37" s="417"/>
      <c r="G37" s="417"/>
      <c r="H37" s="417"/>
      <c r="I37" s="417"/>
      <c r="J37" s="417"/>
      <c r="K37" s="417"/>
      <c r="L37" s="417"/>
      <c r="M37" s="417"/>
      <c r="N37" s="417"/>
      <c r="O37" s="417"/>
      <c r="P37" s="417"/>
      <c r="Q37" s="417"/>
      <c r="R37" s="417"/>
    </row>
    <row r="38" spans="1:18" ht="15" x14ac:dyDescent="0.25">
      <c r="B38" s="417"/>
      <c r="C38" s="417"/>
      <c r="D38" s="417"/>
      <c r="E38" s="417"/>
      <c r="F38" s="417"/>
      <c r="G38" s="417"/>
      <c r="H38" s="417"/>
      <c r="I38" s="417"/>
      <c r="J38" s="417"/>
      <c r="K38" s="417"/>
      <c r="L38" s="417"/>
      <c r="M38" s="417"/>
      <c r="N38" s="417"/>
      <c r="O38" s="417"/>
      <c r="P38" s="417"/>
      <c r="Q38" s="417"/>
      <c r="R38" s="417"/>
    </row>
    <row r="39" spans="1:18" ht="15" x14ac:dyDescent="0.25">
      <c r="B39" s="417"/>
      <c r="C39" s="417"/>
      <c r="D39" s="417"/>
      <c r="E39" s="417"/>
      <c r="F39" s="417"/>
      <c r="G39" s="417"/>
      <c r="H39" s="417"/>
      <c r="I39" s="417"/>
      <c r="J39" s="417"/>
      <c r="K39" s="417"/>
      <c r="L39" s="417"/>
      <c r="M39" s="417"/>
      <c r="N39" s="417"/>
      <c r="O39" s="417"/>
      <c r="P39" s="417"/>
      <c r="Q39" s="417"/>
      <c r="R39" s="417"/>
    </row>
    <row r="40" spans="1:18" ht="15" x14ac:dyDescent="0.25">
      <c r="B40" s="417"/>
      <c r="C40" s="417"/>
      <c r="D40" s="417"/>
      <c r="E40" s="417"/>
      <c r="F40" s="417"/>
      <c r="G40" s="417"/>
      <c r="H40" s="417"/>
      <c r="I40" s="417"/>
      <c r="J40" s="417"/>
      <c r="K40" s="417"/>
      <c r="L40" s="417"/>
      <c r="M40" s="417"/>
      <c r="N40" s="417"/>
      <c r="O40" s="417"/>
      <c r="P40" s="417"/>
      <c r="Q40" s="417"/>
      <c r="R40" s="417"/>
    </row>
    <row r="41" spans="1:18" ht="15" x14ac:dyDescent="0.25">
      <c r="B41" s="418"/>
      <c r="C41" s="417"/>
      <c r="D41" s="417"/>
      <c r="E41" s="417"/>
      <c r="F41" s="417"/>
      <c r="G41" s="417"/>
      <c r="H41" s="417"/>
      <c r="I41" s="417"/>
      <c r="J41" s="417"/>
      <c r="K41" s="417"/>
      <c r="L41" s="417"/>
      <c r="M41" s="417"/>
      <c r="N41" s="417"/>
      <c r="O41" s="417"/>
      <c r="P41" s="417"/>
      <c r="Q41" s="417"/>
      <c r="R41" s="417"/>
    </row>
    <row r="42" spans="1:18" ht="15" x14ac:dyDescent="0.25">
      <c r="B42" s="418"/>
      <c r="C42" s="417"/>
      <c r="D42" s="417"/>
      <c r="E42" s="417"/>
      <c r="F42" s="417"/>
      <c r="G42" s="417"/>
      <c r="H42" s="417"/>
      <c r="I42" s="417"/>
      <c r="J42" s="417"/>
      <c r="K42" s="417"/>
      <c r="L42" s="417"/>
      <c r="M42" s="417"/>
      <c r="N42" s="417"/>
      <c r="O42" s="417"/>
      <c r="P42" s="417"/>
      <c r="Q42" s="417"/>
      <c r="R42" s="417"/>
    </row>
    <row r="43" spans="1:18" ht="15" x14ac:dyDescent="0.25">
      <c r="B43" s="418"/>
      <c r="C43" s="417"/>
      <c r="D43" s="417"/>
      <c r="E43" s="417"/>
      <c r="F43" s="417"/>
      <c r="G43" s="417"/>
      <c r="H43" s="417"/>
      <c r="I43" s="417"/>
      <c r="J43" s="417"/>
      <c r="K43" s="417"/>
      <c r="L43" s="417"/>
      <c r="M43" s="417"/>
      <c r="N43" s="417"/>
      <c r="O43" s="417"/>
      <c r="P43" s="417"/>
      <c r="Q43" s="417"/>
      <c r="R43" s="417"/>
    </row>
    <row r="44" spans="1:18" ht="15" x14ac:dyDescent="0.25">
      <c r="B44" s="417"/>
      <c r="C44" s="417"/>
      <c r="D44" s="417"/>
      <c r="E44" s="417"/>
      <c r="F44" s="417"/>
      <c r="G44" s="417"/>
      <c r="H44" s="417"/>
      <c r="I44" s="417"/>
      <c r="J44" s="417"/>
      <c r="K44" s="417"/>
      <c r="L44" s="417"/>
      <c r="M44" s="417"/>
      <c r="N44" s="417"/>
      <c r="O44" s="417"/>
      <c r="P44" s="417"/>
      <c r="Q44" s="417"/>
      <c r="R44" s="417"/>
    </row>
    <row r="45" spans="1:18" ht="15" x14ac:dyDescent="0.25">
      <c r="B45" s="419"/>
      <c r="C45" s="417"/>
      <c r="D45" s="417"/>
      <c r="E45" s="417"/>
      <c r="F45" s="417"/>
      <c r="G45" s="417"/>
      <c r="H45" s="417"/>
      <c r="I45" s="417"/>
      <c r="J45" s="417"/>
      <c r="K45" s="417"/>
      <c r="L45" s="417"/>
      <c r="M45" s="417"/>
      <c r="N45" s="417"/>
      <c r="O45" s="417"/>
      <c r="P45" s="417"/>
      <c r="Q45" s="417"/>
      <c r="R45" s="417"/>
    </row>
    <row r="46" spans="1:18" ht="15" x14ac:dyDescent="0.25">
      <c r="B46" s="419"/>
      <c r="C46" s="417"/>
      <c r="D46" s="417"/>
      <c r="E46" s="417"/>
      <c r="F46" s="417"/>
      <c r="G46" s="417"/>
      <c r="H46" s="417"/>
      <c r="I46" s="417"/>
      <c r="J46" s="417"/>
      <c r="K46" s="417"/>
      <c r="L46" s="417"/>
      <c r="M46" s="417"/>
      <c r="N46" s="417"/>
      <c r="O46" s="417"/>
      <c r="P46" s="417"/>
      <c r="Q46" s="417"/>
      <c r="R46" s="417"/>
    </row>
    <row r="47" spans="1:18" ht="15" x14ac:dyDescent="0.25">
      <c r="B47" s="419"/>
      <c r="C47" s="417"/>
      <c r="D47" s="417"/>
      <c r="E47" s="417"/>
      <c r="F47" s="417"/>
      <c r="G47" s="417"/>
      <c r="H47" s="417"/>
      <c r="I47" s="417"/>
      <c r="J47" s="417"/>
      <c r="K47" s="417"/>
      <c r="L47" s="417"/>
      <c r="M47" s="417"/>
      <c r="N47" s="417"/>
      <c r="O47" s="417"/>
      <c r="P47" s="417"/>
      <c r="Q47" s="417"/>
      <c r="R47" s="417"/>
    </row>
    <row r="48" spans="1:18" ht="15" x14ac:dyDescent="0.25">
      <c r="B48" s="419"/>
      <c r="C48" s="417"/>
      <c r="D48" s="417"/>
      <c r="E48" s="417"/>
      <c r="F48" s="417"/>
      <c r="G48" s="417"/>
      <c r="H48" s="417"/>
      <c r="I48" s="417"/>
      <c r="J48" s="417"/>
      <c r="K48" s="417"/>
      <c r="L48" s="417"/>
      <c r="M48" s="417"/>
      <c r="N48" s="417"/>
      <c r="O48" s="417"/>
      <c r="P48" s="417"/>
      <c r="Q48" s="417"/>
      <c r="R48" s="417"/>
    </row>
    <row r="49" spans="2:18" ht="15" x14ac:dyDescent="0.25">
      <c r="B49" s="419"/>
      <c r="C49" s="417"/>
      <c r="D49" s="417"/>
      <c r="E49" s="417"/>
      <c r="F49" s="417"/>
      <c r="G49" s="417"/>
      <c r="H49" s="417"/>
      <c r="I49" s="417"/>
      <c r="J49" s="417"/>
      <c r="K49" s="417"/>
      <c r="L49" s="417"/>
      <c r="M49" s="417"/>
      <c r="N49" s="417"/>
      <c r="O49" s="417"/>
      <c r="P49" s="417"/>
      <c r="Q49" s="417"/>
      <c r="R49" s="417"/>
    </row>
    <row r="50" spans="2:18" ht="15" x14ac:dyDescent="0.25">
      <c r="B50" s="419"/>
      <c r="C50" s="417"/>
      <c r="D50" s="417"/>
      <c r="E50" s="417"/>
      <c r="F50" s="417"/>
      <c r="G50" s="417"/>
      <c r="H50" s="417"/>
      <c r="I50" s="417"/>
      <c r="J50" s="417"/>
      <c r="K50" s="417"/>
      <c r="L50" s="417"/>
      <c r="M50" s="417"/>
      <c r="N50" s="417"/>
      <c r="O50" s="417"/>
      <c r="P50" s="417"/>
      <c r="Q50" s="417"/>
      <c r="R50" s="417"/>
    </row>
    <row r="51" spans="2:18" ht="15" x14ac:dyDescent="0.25">
      <c r="B51" s="417"/>
      <c r="C51" s="417"/>
      <c r="D51" s="417"/>
      <c r="E51" s="417"/>
      <c r="F51" s="417"/>
      <c r="G51" s="417"/>
      <c r="H51" s="417"/>
      <c r="I51" s="417"/>
      <c r="J51" s="417"/>
      <c r="K51" s="417"/>
      <c r="L51" s="417"/>
      <c r="M51" s="417"/>
      <c r="N51" s="417"/>
      <c r="O51" s="417"/>
      <c r="P51" s="417"/>
      <c r="Q51" s="417"/>
      <c r="R51" s="417"/>
    </row>
    <row r="52" spans="2:18" ht="15" x14ac:dyDescent="0.25">
      <c r="B52" s="419"/>
      <c r="C52" s="417"/>
      <c r="D52" s="417"/>
      <c r="E52" s="417"/>
      <c r="F52" s="417"/>
      <c r="G52" s="417"/>
      <c r="H52" s="417"/>
      <c r="I52" s="417"/>
      <c r="J52" s="417"/>
      <c r="K52" s="417"/>
      <c r="L52" s="417"/>
      <c r="M52" s="417"/>
      <c r="N52" s="417"/>
      <c r="O52" s="417"/>
      <c r="P52" s="417"/>
      <c r="Q52" s="417"/>
      <c r="R52" s="417"/>
    </row>
    <row r="53" spans="2:18" ht="15" x14ac:dyDescent="0.25">
      <c r="B53" s="419"/>
      <c r="C53" s="417"/>
      <c r="D53" s="417"/>
      <c r="E53" s="417"/>
      <c r="F53" s="417"/>
      <c r="G53" s="417"/>
      <c r="H53" s="417"/>
      <c r="I53" s="417"/>
      <c r="J53" s="417"/>
      <c r="K53" s="417"/>
      <c r="L53" s="417"/>
      <c r="M53" s="417"/>
      <c r="N53" s="417"/>
      <c r="O53" s="417"/>
      <c r="P53" s="417"/>
      <c r="Q53" s="417"/>
      <c r="R53" s="417"/>
    </row>
    <row r="54" spans="2:18" ht="15" x14ac:dyDescent="0.25">
      <c r="B54" s="419"/>
      <c r="C54" s="417"/>
      <c r="D54" s="417"/>
      <c r="E54" s="417"/>
      <c r="F54" s="417"/>
      <c r="G54" s="417"/>
      <c r="H54" s="417"/>
      <c r="I54" s="417"/>
      <c r="J54" s="417"/>
      <c r="K54" s="417"/>
      <c r="L54" s="417"/>
      <c r="M54" s="417"/>
      <c r="N54" s="417"/>
      <c r="O54" s="417"/>
      <c r="P54" s="417"/>
      <c r="Q54" s="417"/>
      <c r="R54" s="417"/>
    </row>
    <row r="55" spans="2:18" ht="15" x14ac:dyDescent="0.25">
      <c r="B55" s="419"/>
      <c r="C55" s="417"/>
      <c r="D55" s="417"/>
      <c r="E55" s="417"/>
      <c r="F55" s="417"/>
      <c r="G55" s="417"/>
      <c r="H55" s="417"/>
      <c r="I55" s="417"/>
      <c r="J55" s="417"/>
      <c r="K55" s="417"/>
      <c r="L55" s="417"/>
      <c r="M55" s="417"/>
      <c r="N55" s="417"/>
      <c r="O55" s="417"/>
      <c r="P55" s="417"/>
      <c r="Q55" s="417"/>
      <c r="R55" s="417"/>
    </row>
    <row r="56" spans="2:18" ht="15" x14ac:dyDescent="0.25">
      <c r="B56" s="419"/>
      <c r="C56" s="417"/>
      <c r="D56" s="417"/>
      <c r="E56" s="417"/>
      <c r="F56" s="417"/>
      <c r="G56" s="417"/>
      <c r="H56" s="417"/>
      <c r="I56" s="417"/>
      <c r="J56" s="417"/>
      <c r="K56" s="417"/>
      <c r="L56" s="417"/>
      <c r="M56" s="417"/>
      <c r="N56" s="417"/>
      <c r="O56" s="417"/>
      <c r="P56" s="417"/>
      <c r="Q56" s="417"/>
      <c r="R56" s="417"/>
    </row>
    <row r="57" spans="2:18" ht="15" x14ac:dyDescent="0.25">
      <c r="B57" s="419"/>
      <c r="C57" s="417"/>
      <c r="D57" s="417"/>
      <c r="E57" s="417"/>
      <c r="F57" s="417"/>
      <c r="G57" s="417"/>
      <c r="H57" s="417"/>
      <c r="I57" s="417"/>
      <c r="J57" s="417"/>
      <c r="K57" s="417"/>
      <c r="L57" s="417"/>
      <c r="M57" s="417"/>
      <c r="N57" s="417"/>
      <c r="O57" s="417"/>
      <c r="P57" s="417"/>
      <c r="Q57" s="417"/>
      <c r="R57" s="417"/>
    </row>
    <row r="58" spans="2:18" ht="15" x14ac:dyDescent="0.25">
      <c r="B58" s="419"/>
      <c r="C58" s="417"/>
      <c r="D58" s="417"/>
      <c r="E58" s="417"/>
      <c r="F58" s="417"/>
      <c r="G58" s="417"/>
      <c r="H58" s="417"/>
      <c r="I58" s="417"/>
      <c r="J58" s="417"/>
      <c r="K58" s="417"/>
      <c r="L58" s="417"/>
      <c r="M58" s="417"/>
      <c r="N58" s="417"/>
      <c r="O58" s="417"/>
      <c r="P58" s="417"/>
      <c r="Q58" s="417"/>
      <c r="R58" s="417"/>
    </row>
    <row r="59" spans="2:18" ht="15" x14ac:dyDescent="0.25">
      <c r="B59" s="417"/>
      <c r="C59" s="417"/>
      <c r="D59" s="417"/>
      <c r="E59" s="417"/>
      <c r="F59" s="417"/>
      <c r="G59" s="417"/>
      <c r="H59" s="417"/>
      <c r="I59" s="417"/>
      <c r="J59" s="417"/>
      <c r="K59" s="417"/>
      <c r="L59" s="417"/>
      <c r="M59" s="417"/>
      <c r="N59" s="417"/>
      <c r="O59" s="417"/>
      <c r="P59" s="417"/>
      <c r="Q59" s="417"/>
      <c r="R59" s="417"/>
    </row>
    <row r="60" spans="2:18" ht="15" x14ac:dyDescent="0.25">
      <c r="B60" s="417"/>
      <c r="C60" s="417"/>
      <c r="D60" s="417"/>
      <c r="E60" s="417"/>
      <c r="F60" s="417"/>
      <c r="G60" s="417"/>
      <c r="H60" s="417"/>
      <c r="I60" s="417"/>
      <c r="J60" s="417"/>
      <c r="K60" s="417"/>
      <c r="L60" s="417"/>
      <c r="M60" s="417"/>
      <c r="N60" s="417"/>
      <c r="O60" s="417"/>
      <c r="P60" s="417"/>
      <c r="Q60" s="417"/>
      <c r="R60" s="417"/>
    </row>
    <row r="61" spans="2:18" ht="15" x14ac:dyDescent="0.25">
      <c r="B61" s="417"/>
      <c r="C61" s="417"/>
      <c r="D61" s="417"/>
      <c r="E61" s="417"/>
      <c r="F61" s="417"/>
      <c r="G61" s="417"/>
      <c r="H61" s="417"/>
      <c r="I61" s="417"/>
      <c r="J61" s="417"/>
      <c r="K61" s="417"/>
      <c r="L61" s="417"/>
      <c r="M61" s="417"/>
      <c r="N61" s="417"/>
      <c r="O61" s="417"/>
      <c r="P61" s="417"/>
      <c r="Q61" s="417"/>
      <c r="R61" s="417"/>
    </row>
    <row r="62" spans="2:18" ht="15" x14ac:dyDescent="0.25">
      <c r="B62" s="417"/>
      <c r="C62" s="417"/>
      <c r="D62" s="417"/>
      <c r="E62" s="417"/>
      <c r="F62" s="417"/>
      <c r="G62" s="417"/>
      <c r="H62" s="417"/>
      <c r="I62" s="417"/>
      <c r="J62" s="417"/>
      <c r="K62" s="417"/>
      <c r="L62" s="417"/>
      <c r="M62" s="417"/>
      <c r="N62" s="417"/>
      <c r="O62" s="417"/>
      <c r="P62" s="417"/>
      <c r="Q62" s="417"/>
      <c r="R62" s="417"/>
    </row>
    <row r="63" spans="2:18" ht="15" x14ac:dyDescent="0.25">
      <c r="B63" s="417"/>
      <c r="C63" s="417"/>
      <c r="D63" s="417"/>
      <c r="E63" s="417"/>
      <c r="F63" s="417"/>
      <c r="G63" s="417"/>
      <c r="H63" s="417"/>
      <c r="I63" s="417"/>
      <c r="J63" s="417"/>
      <c r="K63" s="417"/>
      <c r="L63" s="417"/>
      <c r="M63" s="417"/>
      <c r="N63" s="417"/>
      <c r="O63" s="417"/>
      <c r="P63" s="417"/>
      <c r="Q63" s="417"/>
      <c r="R63" s="417"/>
    </row>
    <row r="64" spans="2:18" ht="15" x14ac:dyDescent="0.25">
      <c r="B64" s="417"/>
      <c r="C64" s="417"/>
      <c r="D64" s="417"/>
      <c r="E64" s="417"/>
      <c r="F64" s="417"/>
      <c r="G64" s="417"/>
      <c r="H64" s="417"/>
      <c r="I64" s="417"/>
      <c r="J64" s="417"/>
      <c r="K64" s="417"/>
      <c r="L64" s="417"/>
      <c r="M64" s="417"/>
      <c r="N64" s="417"/>
      <c r="O64" s="417"/>
      <c r="P64" s="417"/>
      <c r="Q64" s="417"/>
      <c r="R64" s="417"/>
    </row>
    <row r="65" spans="1:18" ht="15" x14ac:dyDescent="0.25">
      <c r="B65" s="417"/>
      <c r="C65" s="417"/>
      <c r="D65" s="417"/>
      <c r="E65" s="417"/>
      <c r="F65" s="417"/>
      <c r="G65" s="417"/>
      <c r="H65" s="417"/>
      <c r="I65" s="417"/>
      <c r="J65" s="417"/>
      <c r="K65" s="417"/>
      <c r="L65" s="417"/>
      <c r="M65" s="417"/>
      <c r="N65" s="417"/>
      <c r="O65" s="417"/>
      <c r="P65" s="417"/>
      <c r="Q65" s="417"/>
      <c r="R65" s="417"/>
    </row>
    <row r="66" spans="1:18" ht="15" x14ac:dyDescent="0.25">
      <c r="B66" s="417"/>
      <c r="C66" s="417"/>
      <c r="D66" s="417"/>
      <c r="E66" s="417"/>
      <c r="F66" s="417"/>
      <c r="G66" s="417"/>
      <c r="H66" s="417"/>
      <c r="I66" s="417"/>
      <c r="J66" s="417"/>
      <c r="K66" s="417"/>
      <c r="L66" s="417"/>
      <c r="M66" s="417"/>
      <c r="N66" s="417"/>
      <c r="O66" s="417"/>
      <c r="P66" s="417"/>
      <c r="Q66" s="417"/>
      <c r="R66" s="417"/>
    </row>
    <row r="67" spans="1:18" ht="15" x14ac:dyDescent="0.25">
      <c r="B67" s="417"/>
      <c r="C67" s="417"/>
      <c r="D67" s="417"/>
      <c r="E67" s="417"/>
      <c r="F67" s="417"/>
      <c r="G67" s="417"/>
      <c r="H67" s="417"/>
      <c r="I67" s="417"/>
      <c r="J67" s="417"/>
      <c r="K67" s="417"/>
      <c r="L67" s="417"/>
      <c r="M67" s="417"/>
      <c r="N67" s="417"/>
      <c r="O67" s="417"/>
      <c r="P67" s="417"/>
      <c r="Q67" s="417"/>
      <c r="R67" s="417"/>
    </row>
    <row r="68" spans="1:18" ht="15" x14ac:dyDescent="0.25">
      <c r="B68" s="417"/>
      <c r="C68" s="417"/>
      <c r="D68" s="417"/>
      <c r="E68" s="417"/>
      <c r="F68" s="417"/>
      <c r="G68" s="417"/>
      <c r="H68" s="417"/>
      <c r="I68" s="417"/>
      <c r="J68" s="417"/>
      <c r="K68" s="417"/>
      <c r="L68" s="417"/>
      <c r="M68" s="417"/>
      <c r="N68" s="417"/>
      <c r="O68" s="417"/>
      <c r="P68" s="417"/>
      <c r="Q68" s="417"/>
      <c r="R68" s="417"/>
    </row>
    <row r="69" spans="1:18" ht="15" x14ac:dyDescent="0.25">
      <c r="B69" s="417"/>
      <c r="C69" s="417"/>
      <c r="D69" s="417"/>
      <c r="E69" s="417"/>
      <c r="F69" s="417"/>
      <c r="G69" s="417"/>
      <c r="H69" s="417"/>
      <c r="I69" s="417"/>
      <c r="J69" s="417"/>
      <c r="K69" s="417"/>
      <c r="L69" s="417"/>
      <c r="M69" s="417"/>
      <c r="N69" s="417"/>
      <c r="O69" s="417"/>
      <c r="P69" s="417"/>
      <c r="Q69" s="417"/>
      <c r="R69" s="417"/>
    </row>
    <row r="70" spans="1:18" ht="15" x14ac:dyDescent="0.25">
      <c r="B70" s="417"/>
      <c r="C70" s="417"/>
      <c r="D70" s="417"/>
      <c r="E70" s="417"/>
      <c r="F70" s="417"/>
      <c r="G70" s="417"/>
      <c r="H70" s="417"/>
      <c r="I70" s="417"/>
      <c r="J70" s="417"/>
      <c r="K70" s="417"/>
      <c r="L70" s="417"/>
      <c r="M70" s="417"/>
      <c r="N70" s="417"/>
      <c r="O70" s="417"/>
      <c r="P70" s="417"/>
      <c r="Q70" s="417"/>
      <c r="R70" s="417"/>
    </row>
    <row r="71" spans="1:18" ht="15" x14ac:dyDescent="0.25"/>
    <row r="72" spans="1:18" ht="15" x14ac:dyDescent="0.25"/>
    <row r="73" spans="1:18" ht="15" x14ac:dyDescent="0.25"/>
    <row r="74" spans="1:18" ht="15" x14ac:dyDescent="0.25"/>
    <row r="75" spans="1:18" ht="15" x14ac:dyDescent="0.25"/>
    <row r="76" spans="1:18" ht="15" x14ac:dyDescent="0.25"/>
    <row r="77" spans="1:18" ht="15" x14ac:dyDescent="0.25"/>
    <row r="78" spans="1:18" ht="15" x14ac:dyDescent="0.25"/>
    <row r="79" spans="1:18" ht="15" x14ac:dyDescent="0.25">
      <c r="A79" s="28"/>
      <c r="B79" s="29"/>
      <c r="C79" s="28"/>
      <c r="D79" s="28"/>
      <c r="E79" s="28"/>
      <c r="F79" s="28"/>
      <c r="G79" s="28"/>
    </row>
    <row r="80" spans="1:18" ht="15" x14ac:dyDescent="0.25">
      <c r="A80" s="28"/>
      <c r="B80" s="29"/>
      <c r="C80" s="28"/>
      <c r="D80" s="28"/>
      <c r="E80" s="28"/>
      <c r="F80" s="28"/>
      <c r="G80" s="28"/>
    </row>
    <row r="81" spans="1:7" ht="15" x14ac:dyDescent="0.25">
      <c r="A81" s="28"/>
      <c r="B81" s="29"/>
      <c r="C81" s="28"/>
      <c r="D81" s="28"/>
      <c r="E81" s="28"/>
      <c r="F81" s="28"/>
      <c r="G81" s="28"/>
    </row>
    <row r="82" spans="1:7" ht="15" x14ac:dyDescent="0.25">
      <c r="A82" s="28"/>
      <c r="B82" s="29"/>
      <c r="C82" s="28"/>
      <c r="D82" s="28"/>
      <c r="E82" s="28"/>
      <c r="F82" s="28"/>
      <c r="G82" s="28"/>
    </row>
    <row r="83" spans="1:7" ht="15" x14ac:dyDescent="0.25">
      <c r="A83" s="28"/>
      <c r="B83" s="29"/>
      <c r="C83" s="28"/>
      <c r="D83" s="28"/>
      <c r="E83" s="28"/>
      <c r="F83" s="28"/>
      <c r="G83" s="28"/>
    </row>
    <row r="84" spans="1:7" ht="15" x14ac:dyDescent="0.25">
      <c r="A84" s="28"/>
      <c r="B84" s="29"/>
      <c r="C84" s="28"/>
      <c r="D84" s="28"/>
      <c r="E84" s="28"/>
      <c r="F84" s="28"/>
      <c r="G84" s="28"/>
    </row>
    <row r="85" spans="1:7" ht="15" x14ac:dyDescent="0.25"/>
    <row r="86" spans="1:7" ht="15" x14ac:dyDescent="0.25"/>
    <row r="87" spans="1:7" ht="15" x14ac:dyDescent="0.25"/>
    <row r="88" spans="1:7" ht="15" x14ac:dyDescent="0.25"/>
    <row r="89" spans="1:7" ht="15" x14ac:dyDescent="0.25"/>
    <row r="90" spans="1:7" ht="15" x14ac:dyDescent="0.25"/>
    <row r="91" spans="1:7" ht="15" x14ac:dyDescent="0.25"/>
    <row r="92" spans="1:7" ht="15" x14ac:dyDescent="0.25"/>
    <row r="93" spans="1:7" ht="15" x14ac:dyDescent="0.25"/>
    <row r="94" spans="1:7" ht="15" x14ac:dyDescent="0.25"/>
    <row r="95" spans="1:7" ht="15" x14ac:dyDescent="0.25"/>
    <row r="96" spans="1:7"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sheetData>
  <sheetProtection formatCells="0" formatColumns="0" formatRows="0" insertHyperlinks="0" sort="0" autoFilter="0" pivotTables="0"/>
  <conditionalFormatting sqref="A79:G84">
    <cfRule type="expression" dxfId="64" priority="1">
      <formula>CELL("protect",A79)=1</formula>
    </cfRule>
  </conditionalFormatting>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58"/>
  <sheetViews>
    <sheetView topLeftCell="A31" workbookViewId="0">
      <selection activeCell="A52" sqref="A52:A58"/>
    </sheetView>
  </sheetViews>
  <sheetFormatPr defaultColWidth="10.28515625" defaultRowHeight="15" x14ac:dyDescent="0.25"/>
  <cols>
    <col min="1" max="1" width="10.28515625" style="61"/>
    <col min="2" max="2" width="57.42578125" style="61" customWidth="1"/>
    <col min="3" max="7" width="10.28515625" style="61"/>
    <col min="8" max="8" width="11.85546875" style="61" customWidth="1"/>
    <col min="9" max="9" width="12" style="61" customWidth="1"/>
    <col min="10" max="16384" width="10.28515625" style="61"/>
  </cols>
  <sheetData>
    <row r="1" spans="1:12" x14ac:dyDescent="0.25">
      <c r="A1" s="387"/>
      <c r="B1" s="388" t="s">
        <v>202</v>
      </c>
      <c r="C1" s="388"/>
      <c r="D1" s="388"/>
      <c r="E1" s="388"/>
      <c r="F1" s="388"/>
      <c r="G1" s="388"/>
      <c r="H1" s="388"/>
      <c r="I1" s="388"/>
      <c r="J1" s="388"/>
      <c r="K1" s="388"/>
      <c r="L1" s="389"/>
    </row>
    <row r="2" spans="1:12" x14ac:dyDescent="0.25">
      <c r="A2" s="390"/>
      <c r="B2" s="391"/>
      <c r="C2" s="391"/>
      <c r="D2" s="388"/>
      <c r="E2" s="388"/>
      <c r="F2" s="388"/>
      <c r="G2" s="388"/>
      <c r="H2" s="388"/>
      <c r="I2" s="388"/>
      <c r="J2" s="388"/>
      <c r="K2" s="388"/>
      <c r="L2" s="389"/>
    </row>
    <row r="3" spans="1:12" x14ac:dyDescent="0.25">
      <c r="A3" s="392"/>
      <c r="B3" s="388" t="s">
        <v>579</v>
      </c>
      <c r="C3" s="388"/>
      <c r="D3" s="388"/>
      <c r="E3" s="388"/>
      <c r="F3" s="388"/>
      <c r="G3" s="388"/>
      <c r="H3" s="388"/>
      <c r="I3" s="388"/>
      <c r="J3" s="388"/>
      <c r="K3" s="388"/>
      <c r="L3" s="389"/>
    </row>
    <row r="4" spans="1:12" x14ac:dyDescent="0.25">
      <c r="A4" s="392"/>
      <c r="B4" s="388" t="s">
        <v>580</v>
      </c>
      <c r="C4" s="388"/>
      <c r="D4" s="388"/>
      <c r="E4" s="388"/>
      <c r="F4" s="388"/>
      <c r="G4" s="388"/>
      <c r="H4" s="388"/>
      <c r="I4" s="388"/>
      <c r="J4" s="388"/>
      <c r="K4" s="388"/>
      <c r="L4" s="389"/>
    </row>
    <row r="5" spans="1:12" x14ac:dyDescent="0.25">
      <c r="A5" s="392"/>
      <c r="B5" s="195" t="s">
        <v>581</v>
      </c>
      <c r="C5" s="388"/>
      <c r="D5" s="388"/>
      <c r="E5" s="388"/>
      <c r="F5" s="388"/>
      <c r="G5" s="388"/>
      <c r="H5" s="388"/>
      <c r="I5" s="388"/>
      <c r="J5" s="388"/>
      <c r="K5" s="388"/>
      <c r="L5" s="389"/>
    </row>
    <row r="6" spans="1:12" x14ac:dyDescent="0.25">
      <c r="A6" s="392"/>
      <c r="B6" s="195"/>
      <c r="C6" s="388"/>
      <c r="D6" s="388"/>
      <c r="E6" s="388"/>
      <c r="F6" s="388"/>
      <c r="G6" s="388"/>
      <c r="H6" s="388"/>
      <c r="I6" s="388"/>
      <c r="J6" s="388"/>
      <c r="K6" s="388"/>
      <c r="L6" s="389"/>
    </row>
    <row r="7" spans="1:12" ht="45" x14ac:dyDescent="0.25">
      <c r="A7" s="392"/>
      <c r="B7" s="447"/>
      <c r="C7" s="448" t="s">
        <v>582</v>
      </c>
      <c r="D7" s="448" t="s">
        <v>583</v>
      </c>
      <c r="E7" s="388"/>
      <c r="F7" s="388"/>
      <c r="G7" s="388"/>
      <c r="H7" s="388"/>
      <c r="I7" s="388"/>
      <c r="J7" s="388"/>
      <c r="K7" s="388"/>
      <c r="L7" s="389"/>
    </row>
    <row r="8" spans="1:12" x14ac:dyDescent="0.25">
      <c r="A8" s="392"/>
      <c r="B8" s="447" t="s">
        <v>584</v>
      </c>
      <c r="C8" s="449">
        <v>55000</v>
      </c>
      <c r="D8" s="449">
        <v>0</v>
      </c>
      <c r="E8" s="388"/>
      <c r="F8" s="388"/>
      <c r="G8" s="388"/>
      <c r="H8" s="388"/>
      <c r="I8" s="388"/>
      <c r="J8" s="388"/>
      <c r="K8" s="388"/>
      <c r="L8" s="389"/>
    </row>
    <row r="9" spans="1:12" x14ac:dyDescent="0.25">
      <c r="A9" s="392"/>
      <c r="B9" s="447" t="s">
        <v>180</v>
      </c>
      <c r="C9" s="449">
        <v>50000</v>
      </c>
      <c r="D9" s="449">
        <v>0</v>
      </c>
      <c r="E9" s="388"/>
      <c r="F9" s="388"/>
      <c r="G9" s="388"/>
      <c r="H9" s="388"/>
      <c r="I9" s="388"/>
      <c r="J9" s="388"/>
      <c r="K9" s="388"/>
      <c r="L9" s="389"/>
    </row>
    <row r="10" spans="1:12" x14ac:dyDescent="0.25">
      <c r="A10" s="392"/>
      <c r="B10" s="447" t="s">
        <v>585</v>
      </c>
      <c r="C10" s="449">
        <v>45000</v>
      </c>
      <c r="D10" s="449">
        <v>16666.666666666668</v>
      </c>
      <c r="E10" s="388"/>
      <c r="F10" s="388"/>
      <c r="G10" s="388"/>
      <c r="H10" s="388"/>
      <c r="I10" s="388"/>
      <c r="J10" s="388"/>
      <c r="K10" s="388"/>
      <c r="L10" s="389"/>
    </row>
    <row r="11" spans="1:12" x14ac:dyDescent="0.25">
      <c r="A11" s="392"/>
      <c r="B11" s="447" t="s">
        <v>586</v>
      </c>
      <c r="C11" s="450">
        <v>0.96</v>
      </c>
      <c r="D11" s="450">
        <v>0.94</v>
      </c>
      <c r="E11" s="388"/>
      <c r="F11" s="388"/>
      <c r="G11" s="388"/>
      <c r="H11" s="388"/>
      <c r="I11" s="388"/>
      <c r="J11" s="388"/>
      <c r="K11" s="388"/>
      <c r="L11" s="389"/>
    </row>
    <row r="12" spans="1:12" x14ac:dyDescent="0.25">
      <c r="A12" s="392"/>
      <c r="B12" s="447" t="s">
        <v>587</v>
      </c>
      <c r="C12" s="451">
        <v>0.82</v>
      </c>
      <c r="D12" s="451">
        <v>0.81</v>
      </c>
      <c r="E12" s="388"/>
      <c r="F12" s="388"/>
      <c r="G12" s="388"/>
      <c r="H12" s="388"/>
      <c r="I12" s="388"/>
      <c r="J12" s="388"/>
      <c r="K12" s="388"/>
      <c r="L12" s="389"/>
    </row>
    <row r="13" spans="1:12" x14ac:dyDescent="0.25">
      <c r="A13" s="392"/>
      <c r="B13" s="447" t="s">
        <v>588</v>
      </c>
      <c r="C13" s="451">
        <v>0.14000000000000001</v>
      </c>
      <c r="D13" s="451">
        <v>0.14000000000000001</v>
      </c>
      <c r="E13" s="388"/>
      <c r="F13" s="388"/>
      <c r="G13" s="388"/>
      <c r="H13" s="388"/>
      <c r="I13" s="388"/>
      <c r="J13" s="388"/>
      <c r="K13" s="388"/>
      <c r="L13" s="389"/>
    </row>
    <row r="14" spans="1:12" x14ac:dyDescent="0.25">
      <c r="A14" s="392"/>
      <c r="B14" s="447" t="s">
        <v>589</v>
      </c>
      <c r="C14" s="450">
        <v>0.95940241190546682</v>
      </c>
      <c r="D14" s="450">
        <v>0.95441988103273045</v>
      </c>
      <c r="E14" s="388"/>
      <c r="F14" s="388"/>
      <c r="G14" s="388"/>
      <c r="H14" s="388"/>
      <c r="I14" s="388"/>
      <c r="J14" s="388"/>
      <c r="K14" s="388"/>
      <c r="L14" s="389"/>
    </row>
    <row r="15" spans="1:12" x14ac:dyDescent="0.25">
      <c r="A15" s="392"/>
      <c r="B15" s="447" t="s">
        <v>590</v>
      </c>
      <c r="C15" s="450">
        <v>0.99355975550410913</v>
      </c>
      <c r="D15" s="450">
        <v>0.98868144923546808</v>
      </c>
      <c r="E15" s="388"/>
      <c r="F15" s="388"/>
      <c r="G15" s="388"/>
      <c r="H15" s="388"/>
      <c r="I15" s="388"/>
      <c r="J15" s="388"/>
      <c r="K15" s="388"/>
      <c r="L15" s="389"/>
    </row>
    <row r="16" spans="1:12" x14ac:dyDescent="0.25">
      <c r="A16" s="392"/>
      <c r="B16" s="447" t="s">
        <v>591</v>
      </c>
      <c r="C16" s="451">
        <v>7.0000000000000007E-2</v>
      </c>
      <c r="D16" s="451">
        <v>7.0000000000000007E-2</v>
      </c>
      <c r="E16" s="388"/>
      <c r="F16" s="388"/>
      <c r="G16" s="388"/>
      <c r="H16" s="388"/>
      <c r="I16" s="388"/>
      <c r="J16" s="388"/>
      <c r="K16" s="388"/>
      <c r="L16" s="389"/>
    </row>
    <row r="17" spans="1:28" x14ac:dyDescent="0.25">
      <c r="A17" s="392"/>
      <c r="B17" s="447" t="s">
        <v>592</v>
      </c>
      <c r="C17" s="451">
        <v>0</v>
      </c>
      <c r="D17" s="451">
        <v>0.15</v>
      </c>
      <c r="E17" s="388"/>
      <c r="F17" s="388"/>
      <c r="G17" s="388"/>
      <c r="H17" s="388"/>
      <c r="I17" s="388"/>
      <c r="J17" s="388"/>
      <c r="K17" s="388"/>
      <c r="L17" s="389"/>
    </row>
    <row r="18" spans="1:28" x14ac:dyDescent="0.25">
      <c r="A18" s="392"/>
      <c r="B18" s="447" t="s">
        <v>593</v>
      </c>
      <c r="C18" s="449">
        <v>7500</v>
      </c>
      <c r="D18" s="449">
        <v>0</v>
      </c>
      <c r="E18" s="388"/>
      <c r="F18" s="388"/>
      <c r="G18" s="388"/>
      <c r="H18" s="388"/>
      <c r="I18" s="388"/>
      <c r="J18" s="388"/>
      <c r="K18" s="388"/>
      <c r="L18" s="389"/>
    </row>
    <row r="19" spans="1:28" x14ac:dyDescent="0.25">
      <c r="A19" s="392"/>
      <c r="B19" s="447" t="s">
        <v>594</v>
      </c>
      <c r="C19" s="451">
        <v>0.75</v>
      </c>
      <c r="D19" s="451">
        <v>0.75</v>
      </c>
      <c r="E19" s="388"/>
      <c r="F19" s="388"/>
      <c r="G19" s="388"/>
      <c r="H19" s="388"/>
      <c r="I19" s="388"/>
      <c r="J19" s="388"/>
      <c r="K19" s="388"/>
      <c r="L19" s="389"/>
    </row>
    <row r="20" spans="1:28" x14ac:dyDescent="0.25">
      <c r="A20" s="392"/>
      <c r="B20" s="447" t="s">
        <v>595</v>
      </c>
      <c r="C20" s="451">
        <v>0.06</v>
      </c>
      <c r="D20" s="451">
        <v>0.06</v>
      </c>
      <c r="E20" s="388"/>
      <c r="F20" s="388"/>
      <c r="G20" s="388"/>
      <c r="H20" s="388"/>
      <c r="I20" s="388"/>
      <c r="J20" s="388"/>
      <c r="K20" s="388"/>
      <c r="L20" s="389"/>
    </row>
    <row r="21" spans="1:28" x14ac:dyDescent="0.25">
      <c r="A21" s="392"/>
      <c r="B21" s="452"/>
      <c r="C21" s="452"/>
      <c r="D21" s="452"/>
      <c r="E21" s="452"/>
      <c r="F21" s="452"/>
      <c r="G21" s="452"/>
      <c r="H21" s="452"/>
      <c r="I21" s="452"/>
      <c r="J21" s="452"/>
      <c r="K21" s="388"/>
      <c r="L21" s="389"/>
    </row>
    <row r="22" spans="1:28" x14ac:dyDescent="0.25">
      <c r="A22" s="392"/>
      <c r="B22" s="388" t="s">
        <v>596</v>
      </c>
      <c r="C22" s="452"/>
      <c r="D22" s="452"/>
      <c r="E22" s="452"/>
      <c r="F22" s="452"/>
      <c r="G22" s="452"/>
      <c r="H22" s="452"/>
      <c r="I22" s="452"/>
      <c r="J22" s="452"/>
      <c r="K22" s="388"/>
      <c r="L22" s="389"/>
    </row>
    <row r="23" spans="1:28" ht="15.75" thickBot="1" x14ac:dyDescent="0.3">
      <c r="A23" s="407"/>
      <c r="B23" s="388"/>
      <c r="C23" s="388"/>
      <c r="D23" s="388"/>
      <c r="E23" s="388"/>
      <c r="F23" s="388"/>
      <c r="G23" s="388"/>
      <c r="H23" s="388"/>
      <c r="I23" s="388"/>
      <c r="J23" s="388"/>
      <c r="K23" s="388"/>
      <c r="L23" s="389"/>
    </row>
    <row r="24" spans="1:28" ht="15.75" thickBot="1" x14ac:dyDescent="0.3">
      <c r="A24" s="3" t="s">
        <v>137</v>
      </c>
      <c r="B24" s="90"/>
      <c r="C24" s="4"/>
      <c r="D24" s="4"/>
      <c r="E24" s="4"/>
      <c r="F24" s="4"/>
      <c r="G24" s="4"/>
      <c r="H24" s="4"/>
      <c r="I24" s="4"/>
      <c r="J24" s="4"/>
      <c r="K24" s="4"/>
      <c r="L24" s="358"/>
    </row>
    <row r="26" spans="1:28" x14ac:dyDescent="0.25">
      <c r="A26" s="463"/>
      <c r="B26" s="453" t="s">
        <v>597</v>
      </c>
      <c r="C26" s="453" t="s">
        <v>598</v>
      </c>
      <c r="D26" s="453" t="s">
        <v>599</v>
      </c>
      <c r="F26"/>
      <c r="G26"/>
      <c r="H26"/>
      <c r="I26"/>
      <c r="J26"/>
      <c r="K26"/>
      <c r="L26"/>
      <c r="M26"/>
      <c r="N26"/>
      <c r="O26" s="454"/>
      <c r="P26" s="454"/>
      <c r="Q26"/>
      <c r="R26"/>
      <c r="S26"/>
      <c r="T26"/>
      <c r="U26"/>
      <c r="V26"/>
      <c r="W26"/>
      <c r="X26"/>
      <c r="Y26"/>
      <c r="Z26"/>
      <c r="AA26"/>
      <c r="AB26"/>
    </row>
    <row r="27" spans="1:28" x14ac:dyDescent="0.25">
      <c r="A27" s="463"/>
      <c r="B27" s="453" t="s">
        <v>600</v>
      </c>
      <c r="C27" s="453">
        <v>2023</v>
      </c>
      <c r="D27" s="453">
        <v>2024</v>
      </c>
      <c r="F27"/>
      <c r="G27"/>
      <c r="H27"/>
      <c r="I27"/>
      <c r="J27"/>
      <c r="K27"/>
      <c r="L27"/>
      <c r="M27"/>
      <c r="N27"/>
      <c r="O27" s="454"/>
      <c r="P27" s="454"/>
      <c r="Q27"/>
      <c r="R27"/>
      <c r="S27"/>
      <c r="T27"/>
      <c r="U27"/>
      <c r="V27"/>
      <c r="W27"/>
      <c r="X27"/>
      <c r="Y27"/>
      <c r="Z27"/>
      <c r="AA27"/>
      <c r="AB27"/>
    </row>
    <row r="28" spans="1:28" x14ac:dyDescent="0.25">
      <c r="A28" s="464"/>
      <c r="B28" t="s">
        <v>584</v>
      </c>
      <c r="C28" s="455">
        <f t="shared" ref="C28:D30" si="0">C8</f>
        <v>55000</v>
      </c>
      <c r="D28" s="456">
        <f t="shared" si="0"/>
        <v>0</v>
      </c>
      <c r="F28"/>
      <c r="G28"/>
      <c r="H28"/>
      <c r="I28"/>
      <c r="J28"/>
      <c r="K28"/>
      <c r="L28"/>
      <c r="M28"/>
      <c r="N28"/>
      <c r="O28" s="454"/>
      <c r="P28" s="454"/>
      <c r="Q28"/>
      <c r="R28"/>
      <c r="S28"/>
      <c r="T28"/>
      <c r="U28"/>
      <c r="V28"/>
      <c r="W28"/>
      <c r="X28"/>
      <c r="Y28"/>
      <c r="Z28"/>
      <c r="AA28"/>
      <c r="AB28"/>
    </row>
    <row r="29" spans="1:28" x14ac:dyDescent="0.25">
      <c r="A29" s="464"/>
      <c r="B29" t="s">
        <v>180</v>
      </c>
      <c r="C29" s="456">
        <f t="shared" si="0"/>
        <v>50000</v>
      </c>
      <c r="D29" s="456">
        <f t="shared" si="0"/>
        <v>0</v>
      </c>
      <c r="F29"/>
      <c r="G29"/>
      <c r="H29"/>
      <c r="I29"/>
      <c r="J29"/>
      <c r="K29"/>
      <c r="L29"/>
      <c r="M29"/>
      <c r="N29"/>
      <c r="O29" s="454"/>
      <c r="P29" s="454"/>
      <c r="Q29"/>
      <c r="R29"/>
      <c r="S29"/>
      <c r="T29"/>
      <c r="U29"/>
      <c r="V29"/>
      <c r="W29"/>
      <c r="X29"/>
      <c r="Y29"/>
      <c r="Z29"/>
      <c r="AA29"/>
      <c r="AB29"/>
    </row>
    <row r="30" spans="1:28" x14ac:dyDescent="0.25">
      <c r="A30" s="464"/>
      <c r="B30" t="s">
        <v>585</v>
      </c>
      <c r="C30" s="456">
        <f t="shared" si="0"/>
        <v>45000</v>
      </c>
      <c r="D30" s="456">
        <f t="shared" si="0"/>
        <v>16666.666666666668</v>
      </c>
      <c r="F30"/>
      <c r="G30"/>
      <c r="H30"/>
      <c r="I30"/>
      <c r="J30"/>
      <c r="K30"/>
      <c r="L30"/>
      <c r="M30"/>
      <c r="N30"/>
      <c r="O30" s="454"/>
      <c r="P30" s="454"/>
      <c r="Q30"/>
      <c r="R30"/>
      <c r="S30"/>
      <c r="T30"/>
      <c r="U30"/>
      <c r="V30"/>
      <c r="W30"/>
      <c r="X30"/>
      <c r="Y30"/>
      <c r="Z30"/>
      <c r="AA30"/>
      <c r="AB30"/>
    </row>
    <row r="31" spans="1:28" x14ac:dyDescent="0.25">
      <c r="A31" s="465">
        <v>0.5</v>
      </c>
      <c r="B31" t="s">
        <v>601</v>
      </c>
      <c r="C31" s="457">
        <f>C28+C30-C29</f>
        <v>50000</v>
      </c>
      <c r="D31">
        <f>D28+D30-D29</f>
        <v>16666.666666666668</v>
      </c>
      <c r="F31"/>
      <c r="G31"/>
      <c r="H31"/>
      <c r="I31"/>
      <c r="J31"/>
      <c r="K31"/>
      <c r="L31"/>
      <c r="M31"/>
      <c r="N31"/>
      <c r="O31" s="454"/>
      <c r="P31" s="454"/>
      <c r="Q31"/>
      <c r="R31"/>
      <c r="S31"/>
      <c r="T31"/>
      <c r="U31"/>
      <c r="V31"/>
      <c r="W31"/>
      <c r="X31"/>
      <c r="Y31"/>
      <c r="Z31"/>
      <c r="AA31"/>
      <c r="AB31"/>
    </row>
    <row r="32" spans="1:28" x14ac:dyDescent="0.25">
      <c r="A32" s="464"/>
      <c r="B32" t="s">
        <v>602</v>
      </c>
      <c r="C32" s="458">
        <f>C11</f>
        <v>0.96</v>
      </c>
      <c r="D32" s="458">
        <f>D11</f>
        <v>0.94</v>
      </c>
      <c r="F32"/>
      <c r="G32"/>
      <c r="H32"/>
      <c r="I32"/>
      <c r="J32"/>
      <c r="K32"/>
      <c r="L32"/>
      <c r="M32"/>
      <c r="N32"/>
      <c r="O32" s="454"/>
      <c r="P32" s="454"/>
      <c r="Q32"/>
      <c r="R32"/>
      <c r="S32"/>
      <c r="T32"/>
      <c r="U32"/>
      <c r="V32"/>
      <c r="W32"/>
      <c r="X32"/>
      <c r="Y32"/>
      <c r="Z32"/>
      <c r="AA32"/>
      <c r="AB32"/>
    </row>
    <row r="33" spans="1:28" x14ac:dyDescent="0.25">
      <c r="A33" s="465">
        <v>0.25</v>
      </c>
      <c r="B33" t="s">
        <v>603</v>
      </c>
      <c r="C33">
        <f>C31*C32</f>
        <v>48000</v>
      </c>
      <c r="D33">
        <f>D31*D32</f>
        <v>15666.666666666666</v>
      </c>
      <c r="F33"/>
      <c r="G33"/>
      <c r="H33"/>
      <c r="I33"/>
      <c r="J33"/>
      <c r="K33"/>
      <c r="L33"/>
      <c r="M33"/>
      <c r="N33"/>
      <c r="O33" s="454"/>
      <c r="P33" s="454"/>
      <c r="Q33"/>
      <c r="R33"/>
      <c r="S33"/>
      <c r="T33"/>
      <c r="U33"/>
      <c r="V33"/>
      <c r="W33"/>
      <c r="X33"/>
      <c r="Y33"/>
      <c r="Z33"/>
      <c r="AA33"/>
      <c r="AB33"/>
    </row>
    <row r="34" spans="1:28" x14ac:dyDescent="0.25">
      <c r="A34" s="464"/>
      <c r="B34" t="s">
        <v>587</v>
      </c>
      <c r="C34" s="459">
        <f t="shared" ref="C34:D37" si="1">C12</f>
        <v>0.82</v>
      </c>
      <c r="D34" s="459">
        <f t="shared" si="1"/>
        <v>0.81</v>
      </c>
      <c r="F34"/>
      <c r="G34"/>
      <c r="H34"/>
      <c r="I34"/>
      <c r="J34"/>
      <c r="K34"/>
      <c r="L34"/>
      <c r="M34"/>
      <c r="N34"/>
      <c r="O34" s="454"/>
      <c r="P34" s="454"/>
      <c r="Q34"/>
      <c r="R34"/>
      <c r="S34"/>
      <c r="T34"/>
      <c r="U34"/>
      <c r="V34"/>
      <c r="W34"/>
      <c r="X34"/>
      <c r="Y34"/>
      <c r="Z34"/>
      <c r="AA34"/>
      <c r="AB34"/>
    </row>
    <row r="35" spans="1:28" x14ac:dyDescent="0.25">
      <c r="A35" s="464"/>
      <c r="B35" t="s">
        <v>588</v>
      </c>
      <c r="C35" s="459">
        <f t="shared" si="1"/>
        <v>0.14000000000000001</v>
      </c>
      <c r="D35" s="459">
        <f t="shared" si="1"/>
        <v>0.14000000000000001</v>
      </c>
      <c r="F35"/>
      <c r="G35"/>
      <c r="H35"/>
      <c r="I35"/>
      <c r="J35"/>
      <c r="K35"/>
      <c r="L35"/>
      <c r="M35"/>
      <c r="N35"/>
      <c r="O35" s="454"/>
      <c r="P35" s="454"/>
      <c r="Q35"/>
      <c r="R35"/>
      <c r="S35"/>
      <c r="T35"/>
      <c r="U35"/>
      <c r="V35"/>
      <c r="W35"/>
      <c r="X35"/>
      <c r="Y35"/>
      <c r="Z35"/>
      <c r="AA35"/>
      <c r="AB35"/>
    </row>
    <row r="36" spans="1:28" x14ac:dyDescent="0.25">
      <c r="A36" s="464"/>
      <c r="B36" t="s">
        <v>589</v>
      </c>
      <c r="C36" s="460">
        <f t="shared" si="1"/>
        <v>0.95940241190546682</v>
      </c>
      <c r="D36" s="460">
        <f t="shared" si="1"/>
        <v>0.95441988103273045</v>
      </c>
      <c r="F36"/>
      <c r="G36"/>
      <c r="H36"/>
      <c r="I36"/>
      <c r="J36"/>
      <c r="K36"/>
      <c r="L36"/>
      <c r="M36"/>
      <c r="N36"/>
      <c r="O36" s="454"/>
      <c r="P36" s="454"/>
      <c r="Q36"/>
      <c r="R36"/>
      <c r="S36"/>
      <c r="T36"/>
      <c r="U36"/>
      <c r="V36"/>
      <c r="W36"/>
      <c r="X36"/>
      <c r="Y36"/>
      <c r="Z36"/>
      <c r="AA36"/>
      <c r="AB36"/>
    </row>
    <row r="37" spans="1:28" x14ac:dyDescent="0.25">
      <c r="A37" s="464"/>
      <c r="B37" t="s">
        <v>590</v>
      </c>
      <c r="C37" s="460">
        <f t="shared" si="1"/>
        <v>0.99355975550410913</v>
      </c>
      <c r="D37" s="460">
        <f t="shared" si="1"/>
        <v>0.98868144923546808</v>
      </c>
      <c r="F37"/>
      <c r="G37"/>
      <c r="H37"/>
      <c r="I37"/>
      <c r="J37"/>
      <c r="K37"/>
      <c r="L37"/>
      <c r="M37"/>
      <c r="N37"/>
    </row>
    <row r="38" spans="1:28" x14ac:dyDescent="0.25">
      <c r="A38" s="465">
        <v>0.25</v>
      </c>
      <c r="B38" t="s">
        <v>604</v>
      </c>
      <c r="C38">
        <f>C33*C34*C36</f>
        <v>37762.078932599172</v>
      </c>
      <c r="D38">
        <f>D33*D34*D36</f>
        <v>12111.58829030535</v>
      </c>
      <c r="F38"/>
      <c r="G38"/>
      <c r="H38"/>
      <c r="I38"/>
      <c r="J38"/>
      <c r="K38"/>
      <c r="L38"/>
      <c r="M38"/>
      <c r="N38"/>
    </row>
    <row r="39" spans="1:28" x14ac:dyDescent="0.25">
      <c r="A39" s="465">
        <v>0.25</v>
      </c>
      <c r="B39" t="s">
        <v>605</v>
      </c>
      <c r="C39">
        <f>C38*C35</f>
        <v>5286.6910505638843</v>
      </c>
      <c r="D39">
        <f>D38*D35</f>
        <v>1695.6223606427491</v>
      </c>
      <c r="F39"/>
      <c r="G39"/>
      <c r="H39"/>
      <c r="I39"/>
      <c r="J39"/>
      <c r="K39"/>
      <c r="L39"/>
      <c r="M39"/>
      <c r="N39"/>
    </row>
    <row r="40" spans="1:28" x14ac:dyDescent="0.25">
      <c r="A40" s="465">
        <v>0.25</v>
      </c>
      <c r="B40" t="s">
        <v>606</v>
      </c>
      <c r="C40">
        <f>C38+C39</f>
        <v>43048.76998316306</v>
      </c>
      <c r="D40">
        <f>D38+D39</f>
        <v>13807.210650948098</v>
      </c>
      <c r="F40"/>
      <c r="G40"/>
      <c r="H40"/>
      <c r="I40"/>
      <c r="J40"/>
      <c r="K40"/>
      <c r="L40"/>
      <c r="M40"/>
      <c r="N40"/>
    </row>
    <row r="41" spans="1:28" x14ac:dyDescent="0.25">
      <c r="A41" s="464"/>
      <c r="B41" t="s">
        <v>591</v>
      </c>
      <c r="C41" s="459">
        <f>C16</f>
        <v>7.0000000000000007E-2</v>
      </c>
      <c r="D41" s="459">
        <f>D16</f>
        <v>7.0000000000000007E-2</v>
      </c>
      <c r="F41"/>
      <c r="G41"/>
      <c r="H41"/>
      <c r="I41"/>
      <c r="J41"/>
      <c r="K41"/>
      <c r="L41"/>
      <c r="M41"/>
      <c r="N41"/>
    </row>
    <row r="42" spans="1:28" x14ac:dyDescent="0.25">
      <c r="A42" s="465">
        <v>0.25</v>
      </c>
      <c r="B42" t="s">
        <v>607</v>
      </c>
      <c r="C42">
        <f>C40*C41</f>
        <v>3013.4138988214145</v>
      </c>
      <c r="D42">
        <f>D40*D41</f>
        <v>966.50474556636698</v>
      </c>
      <c r="F42"/>
      <c r="G42"/>
      <c r="H42"/>
      <c r="I42"/>
      <c r="J42"/>
      <c r="K42"/>
      <c r="L42"/>
      <c r="M42"/>
      <c r="N42"/>
    </row>
    <row r="43" spans="1:28" x14ac:dyDescent="0.25">
      <c r="A43" s="464"/>
      <c r="B43" t="s">
        <v>608</v>
      </c>
      <c r="C43" s="459">
        <f t="shared" ref="C43:D45" si="2">C17</f>
        <v>0</v>
      </c>
      <c r="D43" s="459">
        <f t="shared" si="2"/>
        <v>0.15</v>
      </c>
      <c r="F43"/>
      <c r="G43"/>
      <c r="H43"/>
      <c r="I43"/>
      <c r="J43"/>
      <c r="K43"/>
      <c r="L43"/>
      <c r="M43"/>
      <c r="N43"/>
    </row>
    <row r="44" spans="1:28" x14ac:dyDescent="0.25">
      <c r="A44" s="464"/>
      <c r="B44" t="s">
        <v>593</v>
      </c>
      <c r="C44" s="461">
        <f t="shared" si="2"/>
        <v>7500</v>
      </c>
      <c r="D44" s="461">
        <f t="shared" si="2"/>
        <v>0</v>
      </c>
      <c r="F44"/>
      <c r="G44"/>
      <c r="H44"/>
      <c r="I44"/>
      <c r="J44"/>
      <c r="K44"/>
      <c r="L44"/>
      <c r="M44"/>
      <c r="N44"/>
    </row>
    <row r="45" spans="1:28" x14ac:dyDescent="0.25">
      <c r="A45" s="464"/>
      <c r="B45" t="s">
        <v>609</v>
      </c>
      <c r="C45" s="459">
        <f t="shared" si="2"/>
        <v>0.75</v>
      </c>
      <c r="D45" s="459">
        <f t="shared" si="2"/>
        <v>0.75</v>
      </c>
      <c r="F45"/>
      <c r="G45"/>
      <c r="H45"/>
      <c r="I45"/>
      <c r="J45"/>
      <c r="K45"/>
      <c r="L45"/>
      <c r="M45"/>
      <c r="N45"/>
    </row>
    <row r="46" spans="1:28" x14ac:dyDescent="0.25">
      <c r="A46" s="465">
        <v>0.25</v>
      </c>
      <c r="B46" t="s">
        <v>610</v>
      </c>
      <c r="C46">
        <f>C43*C33*C45+C31*C43*(1-C45)</f>
        <v>0</v>
      </c>
      <c r="D46">
        <f>D43*D33*D45+D31*D43*(1-D45)</f>
        <v>2387.5</v>
      </c>
      <c r="F46"/>
      <c r="G46"/>
      <c r="H46"/>
      <c r="I46"/>
      <c r="J46"/>
      <c r="K46"/>
      <c r="L46"/>
      <c r="M46"/>
      <c r="N46"/>
    </row>
    <row r="47" spans="1:28" x14ac:dyDescent="0.25">
      <c r="A47" s="465">
        <v>0.25</v>
      </c>
      <c r="B47" t="s">
        <v>611</v>
      </c>
      <c r="C47">
        <f>C44*C45*C32+(1-C45)*C44</f>
        <v>7275</v>
      </c>
      <c r="D47">
        <f>D44*D45*D32+(1-D45)*D44</f>
        <v>0</v>
      </c>
      <c r="F47"/>
      <c r="G47"/>
      <c r="H47"/>
      <c r="I47"/>
      <c r="J47"/>
      <c r="K47"/>
      <c r="L47"/>
      <c r="M47"/>
      <c r="N47"/>
    </row>
    <row r="48" spans="1:28" x14ac:dyDescent="0.25">
      <c r="A48" s="464"/>
      <c r="B48" t="s">
        <v>595</v>
      </c>
      <c r="C48" s="459">
        <f>C20</f>
        <v>0.06</v>
      </c>
      <c r="D48" s="459">
        <f>D20</f>
        <v>0.06</v>
      </c>
      <c r="F48"/>
      <c r="G48"/>
      <c r="H48"/>
      <c r="I48"/>
      <c r="J48"/>
      <c r="K48"/>
      <c r="L48"/>
      <c r="M48"/>
      <c r="N48"/>
    </row>
    <row r="49" spans="1:14" x14ac:dyDescent="0.25">
      <c r="A49" s="465">
        <v>0.25</v>
      </c>
      <c r="B49" t="s">
        <v>612</v>
      </c>
      <c r="C49">
        <f>C33*C48*C37</f>
        <v>2861.4520958518342</v>
      </c>
      <c r="D49">
        <f>D33*D48*D37</f>
        <v>929.36056228133987</v>
      </c>
      <c r="F49"/>
      <c r="G49"/>
      <c r="H49"/>
      <c r="I49"/>
      <c r="J49"/>
      <c r="K49"/>
      <c r="L49"/>
      <c r="M49"/>
      <c r="N49"/>
    </row>
    <row r="50" spans="1:14" x14ac:dyDescent="0.25">
      <c r="A50" s="465">
        <v>0.25</v>
      </c>
      <c r="B50" t="s">
        <v>613</v>
      </c>
      <c r="C50">
        <f>(C30-C31*(1-C32))*C37</f>
        <v>42723.069486676693</v>
      </c>
      <c r="D50">
        <f>(D30-D31*(1-D32))*D37</f>
        <v>15489.342704689001</v>
      </c>
      <c r="F50"/>
      <c r="G50"/>
      <c r="H50"/>
      <c r="I50"/>
      <c r="J50"/>
      <c r="K50"/>
      <c r="L50"/>
      <c r="M50"/>
      <c r="N50"/>
    </row>
    <row r="51" spans="1:14" x14ac:dyDescent="0.25">
      <c r="A51" s="465">
        <v>0.25</v>
      </c>
      <c r="B51" t="s">
        <v>614</v>
      </c>
      <c r="C51" s="457">
        <f>C40+C42+C49-C50+(C47-C44)+C46</f>
        <v>5975.5664911596105</v>
      </c>
      <c r="D51" s="457">
        <f>D40+D42+D49-D50+(D47-D44)+D46</f>
        <v>2601.2332541068026</v>
      </c>
      <c r="F51"/>
      <c r="G51"/>
      <c r="H51"/>
      <c r="I51"/>
      <c r="J51"/>
      <c r="K51"/>
      <c r="L51"/>
      <c r="M51"/>
      <c r="N51"/>
    </row>
    <row r="52" spans="1:14" x14ac:dyDescent="0.25">
      <c r="A52" s="465">
        <v>0.25</v>
      </c>
      <c r="B52" t="s">
        <v>615</v>
      </c>
      <c r="C52" s="457">
        <f>C28-C29-C44</f>
        <v>-2500</v>
      </c>
      <c r="D52" s="457">
        <f>D28-D29-D44</f>
        <v>0</v>
      </c>
      <c r="F52"/>
      <c r="G52"/>
      <c r="H52"/>
      <c r="I52"/>
      <c r="J52"/>
      <c r="K52"/>
      <c r="L52"/>
      <c r="M52"/>
      <c r="N52"/>
    </row>
    <row r="53" spans="1:14" x14ac:dyDescent="0.25">
      <c r="A53" s="465">
        <v>0.25</v>
      </c>
      <c r="B53" t="s">
        <v>616</v>
      </c>
      <c r="C53" s="457">
        <f>MAX(C51-C52,0)</f>
        <v>8475.5664911596105</v>
      </c>
      <c r="D53" s="457">
        <f>MAX(D51-D52,0)</f>
        <v>2601.2332541068026</v>
      </c>
      <c r="F53"/>
      <c r="G53"/>
      <c r="H53"/>
      <c r="I53"/>
      <c r="J53"/>
      <c r="K53"/>
      <c r="L53"/>
      <c r="M53"/>
      <c r="N53"/>
    </row>
    <row r="54" spans="1:14" x14ac:dyDescent="0.25">
      <c r="A54" s="423"/>
      <c r="F54"/>
      <c r="G54"/>
      <c r="H54"/>
      <c r="I54"/>
      <c r="J54"/>
      <c r="K54"/>
      <c r="L54"/>
      <c r="M54"/>
      <c r="N54"/>
    </row>
    <row r="55" spans="1:14" x14ac:dyDescent="0.25">
      <c r="A55" s="465">
        <v>0.25</v>
      </c>
      <c r="B55" s="61" t="s">
        <v>617</v>
      </c>
      <c r="C55" s="462">
        <f>C53+D53</f>
        <v>11076.799745266413</v>
      </c>
    </row>
    <row r="56" spans="1:14" x14ac:dyDescent="0.25">
      <c r="A56" s="423"/>
    </row>
    <row r="57" spans="1:14" x14ac:dyDescent="0.25">
      <c r="A57" s="423"/>
    </row>
    <row r="58" spans="1:14" x14ac:dyDescent="0.25">
      <c r="A58" s="42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F814F-17CC-45AE-A7E8-6B9EAF2C8D40}">
  <dimension ref="A1:AO150"/>
  <sheetViews>
    <sheetView workbookViewId="0">
      <selection activeCell="D41" sqref="D41"/>
    </sheetView>
  </sheetViews>
  <sheetFormatPr defaultColWidth="0" defaultRowHeight="15" zeroHeight="1" x14ac:dyDescent="0.25"/>
  <cols>
    <col min="1" max="1" width="2.85546875" style="493" customWidth="1"/>
    <col min="2" max="2" width="10.5703125" style="497" customWidth="1"/>
    <col min="3" max="3" width="27.7109375" style="493" customWidth="1"/>
    <col min="4" max="4" width="13.42578125" style="493" customWidth="1"/>
    <col min="5" max="5" width="20.7109375" style="493" customWidth="1"/>
    <col min="6" max="6" width="20.28515625" style="493" customWidth="1"/>
    <col min="7" max="7" width="16.42578125" style="493" customWidth="1"/>
    <col min="8" max="8" width="18.7109375" style="493" customWidth="1"/>
    <col min="9" max="9" width="18.42578125" style="493" customWidth="1"/>
    <col min="10" max="10" width="11" style="493" customWidth="1"/>
    <col min="11" max="11" width="10.7109375" style="493" customWidth="1"/>
    <col min="12" max="40" width="10.7109375" style="471" customWidth="1"/>
    <col min="41" max="16384" width="11.42578125" style="471" hidden="1"/>
  </cols>
  <sheetData>
    <row r="1" spans="1:41" x14ac:dyDescent="0.25">
      <c r="A1" s="567"/>
      <c r="B1" s="568" t="s">
        <v>618</v>
      </c>
      <c r="C1" s="569"/>
      <c r="D1" s="569"/>
      <c r="E1" s="569"/>
      <c r="F1" s="569"/>
      <c r="G1" s="569"/>
      <c r="H1" s="569"/>
      <c r="I1" s="569"/>
      <c r="J1" s="604"/>
      <c r="K1"/>
      <c r="L1"/>
      <c r="M1"/>
      <c r="N1"/>
      <c r="O1"/>
      <c r="P1"/>
      <c r="Q1"/>
      <c r="R1"/>
      <c r="S1"/>
      <c r="T1"/>
      <c r="U1"/>
      <c r="V1"/>
      <c r="W1"/>
      <c r="X1"/>
      <c r="Y1"/>
      <c r="Z1"/>
      <c r="AA1"/>
      <c r="AB1"/>
      <c r="AC1"/>
      <c r="AD1"/>
      <c r="AE1"/>
      <c r="AF1"/>
      <c r="AG1"/>
      <c r="AH1"/>
      <c r="AI1"/>
      <c r="AJ1"/>
      <c r="AK1"/>
      <c r="AL1"/>
      <c r="AM1"/>
      <c r="AN1"/>
      <c r="AO1"/>
    </row>
    <row r="2" spans="1:41" x14ac:dyDescent="0.25">
      <c r="A2" s="467"/>
      <c r="B2" s="468"/>
      <c r="C2" s="469"/>
      <c r="D2" s="469"/>
      <c r="E2" s="469"/>
      <c r="F2" s="469"/>
      <c r="G2" s="469"/>
      <c r="H2" s="469"/>
      <c r="I2" s="469"/>
      <c r="J2" s="470"/>
      <c r="K2"/>
      <c r="L2"/>
      <c r="M2"/>
      <c r="N2"/>
      <c r="O2"/>
      <c r="P2"/>
      <c r="Q2"/>
      <c r="R2"/>
      <c r="S2"/>
      <c r="T2"/>
      <c r="U2"/>
      <c r="V2"/>
      <c r="W2"/>
      <c r="X2"/>
      <c r="Y2"/>
      <c r="Z2"/>
      <c r="AA2"/>
      <c r="AB2"/>
      <c r="AC2"/>
      <c r="AD2"/>
      <c r="AE2"/>
      <c r="AF2"/>
      <c r="AG2"/>
      <c r="AH2"/>
      <c r="AI2"/>
      <c r="AJ2"/>
      <c r="AK2"/>
      <c r="AL2"/>
      <c r="AM2"/>
      <c r="AN2"/>
      <c r="AO2"/>
    </row>
    <row r="3" spans="1:41" ht="29.25" customHeight="1" x14ac:dyDescent="0.25">
      <c r="A3" s="472"/>
      <c r="B3" s="473"/>
      <c r="C3" s="722" t="s">
        <v>375</v>
      </c>
      <c r="D3" s="722"/>
      <c r="E3" s="722"/>
      <c r="F3" s="722"/>
      <c r="G3" s="722"/>
      <c r="H3" s="722"/>
      <c r="I3" s="722"/>
      <c r="J3" s="723"/>
      <c r="K3"/>
      <c r="L3"/>
      <c r="M3"/>
      <c r="N3"/>
      <c r="O3"/>
      <c r="P3"/>
      <c r="Q3"/>
      <c r="R3"/>
      <c r="S3"/>
      <c r="T3"/>
      <c r="U3"/>
      <c r="V3"/>
      <c r="W3"/>
      <c r="X3"/>
      <c r="Y3"/>
      <c r="Z3"/>
      <c r="AA3"/>
      <c r="AB3"/>
      <c r="AC3"/>
      <c r="AD3"/>
      <c r="AE3"/>
      <c r="AF3"/>
      <c r="AG3"/>
      <c r="AH3"/>
      <c r="AI3"/>
      <c r="AJ3"/>
      <c r="AK3"/>
      <c r="AL3"/>
      <c r="AM3"/>
      <c r="AN3"/>
      <c r="AO3"/>
    </row>
    <row r="4" spans="1:41" x14ac:dyDescent="0.25">
      <c r="A4" s="571"/>
      <c r="B4" s="605"/>
      <c r="C4" s="606"/>
      <c r="D4" s="607"/>
      <c r="E4" s="607"/>
      <c r="F4" s="607"/>
      <c r="G4" s="607"/>
      <c r="H4" s="607"/>
      <c r="I4" s="607"/>
      <c r="J4" s="470"/>
      <c r="K4"/>
      <c r="L4"/>
      <c r="M4"/>
      <c r="N4"/>
      <c r="O4"/>
      <c r="P4"/>
      <c r="Q4"/>
      <c r="R4"/>
      <c r="S4"/>
      <c r="T4"/>
      <c r="U4"/>
      <c r="V4"/>
      <c r="W4"/>
      <c r="X4"/>
      <c r="Y4"/>
      <c r="Z4"/>
      <c r="AA4"/>
      <c r="AB4"/>
      <c r="AC4"/>
      <c r="AD4"/>
      <c r="AE4"/>
      <c r="AF4"/>
      <c r="AG4"/>
      <c r="AH4"/>
      <c r="AI4"/>
      <c r="AJ4"/>
      <c r="AK4"/>
      <c r="AL4"/>
      <c r="AM4"/>
      <c r="AN4"/>
      <c r="AO4"/>
    </row>
    <row r="5" spans="1:41" x14ac:dyDescent="0.25">
      <c r="A5" s="571"/>
      <c r="B5" s="605"/>
      <c r="C5" s="721" t="s">
        <v>619</v>
      </c>
      <c r="D5" s="721"/>
      <c r="E5" s="721"/>
      <c r="F5" s="721"/>
      <c r="G5" s="475">
        <v>48000</v>
      </c>
      <c r="H5" s="607"/>
      <c r="I5" s="607"/>
      <c r="J5" s="470"/>
      <c r="K5"/>
      <c r="L5"/>
      <c r="M5"/>
      <c r="N5"/>
      <c r="O5"/>
      <c r="P5"/>
      <c r="Q5"/>
      <c r="R5"/>
      <c r="S5"/>
      <c r="T5"/>
      <c r="U5"/>
      <c r="V5"/>
      <c r="W5"/>
      <c r="X5"/>
      <c r="Y5"/>
      <c r="Z5"/>
      <c r="AA5"/>
      <c r="AB5"/>
      <c r="AC5"/>
      <c r="AD5"/>
      <c r="AE5"/>
      <c r="AF5"/>
      <c r="AG5"/>
      <c r="AH5"/>
      <c r="AI5"/>
      <c r="AJ5"/>
      <c r="AK5"/>
      <c r="AL5"/>
      <c r="AM5"/>
      <c r="AN5"/>
      <c r="AO5"/>
    </row>
    <row r="6" spans="1:41" x14ac:dyDescent="0.25">
      <c r="A6" s="571"/>
      <c r="B6" s="605"/>
      <c r="C6" s="721" t="s">
        <v>620</v>
      </c>
      <c r="D6" s="721"/>
      <c r="E6" s="721"/>
      <c r="F6" s="721"/>
      <c r="G6" s="475">
        <v>42723</v>
      </c>
      <c r="H6" s="607"/>
      <c r="I6" s="607"/>
      <c r="J6" s="470"/>
      <c r="K6"/>
      <c r="L6"/>
      <c r="M6"/>
      <c r="N6"/>
      <c r="O6"/>
      <c r="P6"/>
      <c r="Q6"/>
      <c r="R6"/>
      <c r="S6"/>
      <c r="T6"/>
      <c r="U6"/>
      <c r="V6"/>
      <c r="W6"/>
      <c r="X6"/>
      <c r="Y6"/>
      <c r="Z6"/>
      <c r="AA6"/>
      <c r="AB6"/>
      <c r="AC6"/>
      <c r="AD6"/>
      <c r="AE6"/>
      <c r="AF6"/>
      <c r="AG6"/>
      <c r="AH6"/>
      <c r="AI6"/>
      <c r="AJ6"/>
      <c r="AK6"/>
      <c r="AL6"/>
      <c r="AM6"/>
      <c r="AN6"/>
      <c r="AO6"/>
    </row>
    <row r="7" spans="1:41" x14ac:dyDescent="0.25">
      <c r="A7" s="571"/>
      <c r="B7" s="605"/>
      <c r="C7" s="724" t="s">
        <v>621</v>
      </c>
      <c r="D7" s="725"/>
      <c r="E7" s="725"/>
      <c r="F7" s="726"/>
      <c r="G7" s="475">
        <v>225</v>
      </c>
      <c r="H7" s="607"/>
      <c r="I7" s="607"/>
      <c r="J7" s="470"/>
      <c r="K7"/>
      <c r="L7"/>
      <c r="M7"/>
      <c r="N7"/>
      <c r="O7"/>
      <c r="P7"/>
      <c r="Q7"/>
      <c r="R7"/>
      <c r="S7"/>
      <c r="T7"/>
      <c r="U7"/>
      <c r="V7"/>
      <c r="W7"/>
      <c r="X7"/>
      <c r="Y7"/>
      <c r="Z7"/>
      <c r="AA7"/>
      <c r="AB7"/>
      <c r="AC7"/>
      <c r="AD7"/>
      <c r="AE7"/>
      <c r="AF7"/>
      <c r="AG7"/>
      <c r="AH7"/>
      <c r="AI7"/>
      <c r="AJ7"/>
      <c r="AK7"/>
      <c r="AL7"/>
      <c r="AM7"/>
      <c r="AN7"/>
      <c r="AO7"/>
    </row>
    <row r="8" spans="1:41" x14ac:dyDescent="0.25">
      <c r="A8" s="571"/>
      <c r="B8" s="605"/>
      <c r="C8" s="721" t="s">
        <v>622</v>
      </c>
      <c r="D8" s="721"/>
      <c r="E8" s="721"/>
      <c r="F8" s="721"/>
      <c r="G8" s="475">
        <v>3338</v>
      </c>
      <c r="H8" s="607"/>
      <c r="I8" s="607"/>
      <c r="J8" s="470"/>
      <c r="K8"/>
      <c r="L8"/>
      <c r="M8"/>
      <c r="N8"/>
      <c r="O8"/>
      <c r="P8"/>
      <c r="Q8"/>
      <c r="R8"/>
      <c r="S8"/>
      <c r="T8"/>
      <c r="U8"/>
      <c r="V8"/>
      <c r="W8"/>
      <c r="X8"/>
      <c r="Y8"/>
      <c r="Z8"/>
      <c r="AA8"/>
      <c r="AB8"/>
      <c r="AC8"/>
      <c r="AD8"/>
      <c r="AE8"/>
      <c r="AF8"/>
      <c r="AG8"/>
      <c r="AH8"/>
      <c r="AI8"/>
      <c r="AJ8"/>
      <c r="AK8"/>
      <c r="AL8"/>
      <c r="AM8"/>
      <c r="AN8"/>
      <c r="AO8"/>
    </row>
    <row r="9" spans="1:41" ht="15" customHeight="1" x14ac:dyDescent="0.25">
      <c r="A9" s="571"/>
      <c r="B9" s="605"/>
      <c r="C9" s="721" t="s">
        <v>623</v>
      </c>
      <c r="D9" s="721"/>
      <c r="E9" s="721"/>
      <c r="F9" s="721"/>
      <c r="G9" s="476">
        <v>0.1</v>
      </c>
      <c r="H9" s="607"/>
      <c r="I9" s="607"/>
      <c r="J9" s="470"/>
      <c r="K9"/>
      <c r="L9"/>
      <c r="M9"/>
      <c r="N9"/>
      <c r="O9"/>
      <c r="P9"/>
      <c r="Q9"/>
      <c r="R9"/>
      <c r="S9"/>
      <c r="T9"/>
      <c r="U9"/>
      <c r="V9"/>
      <c r="W9"/>
      <c r="X9"/>
      <c r="Y9"/>
      <c r="Z9"/>
      <c r="AA9"/>
      <c r="AB9"/>
      <c r="AC9"/>
      <c r="AD9"/>
      <c r="AE9"/>
      <c r="AF9"/>
      <c r="AG9"/>
      <c r="AH9"/>
      <c r="AI9"/>
      <c r="AJ9"/>
      <c r="AK9"/>
      <c r="AL9"/>
      <c r="AM9"/>
      <c r="AN9"/>
      <c r="AO9"/>
    </row>
    <row r="10" spans="1:41" x14ac:dyDescent="0.25">
      <c r="A10" s="571"/>
      <c r="B10" s="605"/>
      <c r="C10" s="721" t="s">
        <v>624</v>
      </c>
      <c r="D10" s="721"/>
      <c r="E10" s="721"/>
      <c r="F10" s="721"/>
      <c r="G10" s="476">
        <v>0.8</v>
      </c>
      <c r="H10" s="607"/>
      <c r="I10" s="607"/>
      <c r="J10" s="470"/>
      <c r="K10"/>
      <c r="L10"/>
      <c r="M10"/>
      <c r="N10"/>
      <c r="O10"/>
      <c r="P10"/>
      <c r="Q10"/>
      <c r="R10"/>
      <c r="S10"/>
      <c r="T10"/>
      <c r="U10"/>
      <c r="V10"/>
      <c r="W10"/>
      <c r="X10"/>
      <c r="Y10"/>
      <c r="Z10"/>
      <c r="AA10"/>
      <c r="AB10"/>
      <c r="AC10"/>
      <c r="AD10"/>
      <c r="AE10"/>
      <c r="AF10"/>
      <c r="AG10"/>
      <c r="AH10"/>
      <c r="AI10"/>
      <c r="AJ10"/>
      <c r="AK10"/>
      <c r="AL10"/>
      <c r="AM10"/>
      <c r="AN10"/>
      <c r="AO10"/>
    </row>
    <row r="11" spans="1:41" x14ac:dyDescent="0.25">
      <c r="A11" s="571"/>
      <c r="B11" s="605"/>
      <c r="C11" s="721" t="s">
        <v>625</v>
      </c>
      <c r="D11" s="721"/>
      <c r="E11" s="721"/>
      <c r="F11" s="721"/>
      <c r="G11" s="476">
        <v>0.14000000000000001</v>
      </c>
      <c r="H11" s="607"/>
      <c r="I11" s="607"/>
      <c r="J11" s="470"/>
      <c r="K11"/>
      <c r="L11"/>
      <c r="M11"/>
      <c r="N11"/>
      <c r="O11"/>
      <c r="P11"/>
      <c r="Q11"/>
      <c r="R11"/>
      <c r="S11"/>
      <c r="T11"/>
      <c r="U11"/>
      <c r="V11"/>
      <c r="W11"/>
      <c r="X11"/>
      <c r="Y11"/>
      <c r="Z11"/>
      <c r="AA11"/>
      <c r="AB11"/>
      <c r="AC11"/>
      <c r="AD11"/>
      <c r="AE11"/>
      <c r="AF11"/>
      <c r="AG11"/>
      <c r="AH11"/>
      <c r="AI11"/>
      <c r="AJ11"/>
      <c r="AK11"/>
      <c r="AL11"/>
      <c r="AM11"/>
      <c r="AN11"/>
      <c r="AO11"/>
    </row>
    <row r="12" spans="1:41" x14ac:dyDescent="0.25">
      <c r="A12" s="571"/>
      <c r="B12" s="605"/>
      <c r="C12" s="721" t="s">
        <v>626</v>
      </c>
      <c r="D12" s="721"/>
      <c r="E12" s="721"/>
      <c r="F12" s="721"/>
      <c r="G12" s="475">
        <v>-2500</v>
      </c>
      <c r="H12" s="607"/>
      <c r="I12" s="607"/>
      <c r="J12" s="470"/>
      <c r="K12"/>
      <c r="L12"/>
      <c r="M12"/>
      <c r="N12"/>
      <c r="O12"/>
      <c r="P12"/>
      <c r="Q12"/>
      <c r="R12"/>
      <c r="S12"/>
      <c r="T12"/>
      <c r="U12"/>
      <c r="V12"/>
      <c r="W12"/>
      <c r="X12"/>
      <c r="Y12"/>
      <c r="Z12"/>
      <c r="AA12"/>
      <c r="AB12"/>
      <c r="AC12"/>
      <c r="AD12"/>
      <c r="AE12"/>
      <c r="AF12"/>
      <c r="AG12"/>
      <c r="AH12"/>
      <c r="AI12"/>
      <c r="AJ12"/>
      <c r="AK12"/>
      <c r="AL12"/>
      <c r="AM12"/>
      <c r="AN12"/>
      <c r="AO12"/>
    </row>
    <row r="13" spans="1:41" x14ac:dyDescent="0.25">
      <c r="A13" s="571"/>
      <c r="B13" s="605"/>
      <c r="C13" s="606"/>
      <c r="D13" s="607"/>
      <c r="E13" s="607"/>
      <c r="F13" s="607"/>
      <c r="G13" s="607"/>
      <c r="H13" s="607"/>
      <c r="I13" s="607"/>
      <c r="J13" s="470"/>
      <c r="K13"/>
      <c r="L13"/>
      <c r="M13"/>
      <c r="N13"/>
      <c r="O13"/>
      <c r="P13"/>
      <c r="Q13"/>
      <c r="R13"/>
      <c r="S13"/>
      <c r="T13"/>
      <c r="U13"/>
      <c r="V13"/>
      <c r="W13"/>
      <c r="X13"/>
      <c r="Y13"/>
      <c r="Z13"/>
      <c r="AA13"/>
      <c r="AB13"/>
      <c r="AC13"/>
      <c r="AD13"/>
      <c r="AE13"/>
      <c r="AF13"/>
      <c r="AG13"/>
      <c r="AH13"/>
      <c r="AI13"/>
      <c r="AJ13"/>
      <c r="AK13"/>
      <c r="AL13"/>
      <c r="AM13"/>
      <c r="AN13"/>
      <c r="AO13"/>
    </row>
    <row r="14" spans="1:41" x14ac:dyDescent="0.25">
      <c r="A14" s="571"/>
      <c r="B14" s="605"/>
      <c r="C14" s="606" t="s">
        <v>627</v>
      </c>
      <c r="D14" s="607"/>
      <c r="E14" s="607"/>
      <c r="F14" s="607"/>
      <c r="G14" s="608"/>
      <c r="H14" s="607"/>
      <c r="I14" s="607"/>
      <c r="J14" s="470"/>
      <c r="K14"/>
      <c r="L14"/>
      <c r="M14"/>
      <c r="N14"/>
      <c r="O14"/>
      <c r="P14"/>
      <c r="Q14"/>
      <c r="R14"/>
      <c r="S14"/>
      <c r="T14"/>
      <c r="U14"/>
      <c r="V14"/>
      <c r="W14"/>
      <c r="X14"/>
      <c r="Y14"/>
      <c r="Z14"/>
      <c r="AA14"/>
      <c r="AB14"/>
      <c r="AC14"/>
      <c r="AD14"/>
      <c r="AE14"/>
      <c r="AF14"/>
      <c r="AG14"/>
      <c r="AH14"/>
      <c r="AI14"/>
      <c r="AJ14"/>
      <c r="AK14"/>
      <c r="AL14"/>
      <c r="AM14"/>
      <c r="AN14"/>
      <c r="AO14"/>
    </row>
    <row r="15" spans="1:41" x14ac:dyDescent="0.25">
      <c r="A15" s="571"/>
      <c r="B15" s="605"/>
      <c r="C15" s="606" t="s">
        <v>628</v>
      </c>
      <c r="D15" s="606"/>
      <c r="E15" s="606"/>
      <c r="F15" s="606"/>
      <c r="G15" s="608"/>
      <c r="H15" s="607"/>
      <c r="I15" s="607"/>
      <c r="J15" s="470"/>
      <c r="K15"/>
      <c r="L15"/>
      <c r="M15"/>
      <c r="N15"/>
      <c r="O15"/>
      <c r="P15"/>
      <c r="Q15"/>
      <c r="R15"/>
      <c r="S15"/>
      <c r="T15"/>
      <c r="U15"/>
      <c r="V15"/>
      <c r="W15"/>
      <c r="X15"/>
      <c r="Y15"/>
      <c r="Z15"/>
      <c r="AA15"/>
      <c r="AB15"/>
      <c r="AC15"/>
      <c r="AD15"/>
      <c r="AE15"/>
      <c r="AF15"/>
      <c r="AG15"/>
      <c r="AH15"/>
      <c r="AI15"/>
      <c r="AJ15"/>
      <c r="AK15"/>
      <c r="AL15"/>
      <c r="AM15"/>
      <c r="AN15"/>
      <c r="AO15"/>
    </row>
    <row r="16" spans="1:41" x14ac:dyDescent="0.25">
      <c r="A16" s="571"/>
      <c r="B16" s="605"/>
      <c r="C16" s="606"/>
      <c r="D16" s="607"/>
      <c r="E16" s="607"/>
      <c r="F16" s="607"/>
      <c r="G16" s="607"/>
      <c r="H16" s="607"/>
      <c r="I16" s="607"/>
      <c r="J16" s="470"/>
      <c r="K16"/>
      <c r="L16"/>
      <c r="M16"/>
      <c r="N16"/>
      <c r="O16"/>
      <c r="P16"/>
      <c r="Q16"/>
      <c r="R16"/>
      <c r="S16"/>
      <c r="T16"/>
      <c r="U16"/>
      <c r="V16"/>
      <c r="W16"/>
      <c r="X16"/>
      <c r="Y16"/>
      <c r="Z16"/>
      <c r="AA16"/>
      <c r="AB16"/>
      <c r="AC16"/>
      <c r="AD16"/>
      <c r="AE16"/>
      <c r="AF16"/>
      <c r="AG16"/>
      <c r="AH16"/>
      <c r="AI16"/>
      <c r="AJ16"/>
      <c r="AK16"/>
      <c r="AL16"/>
      <c r="AM16"/>
      <c r="AN16"/>
      <c r="AO16"/>
    </row>
    <row r="17" spans="1:41" x14ac:dyDescent="0.25">
      <c r="A17" s="571"/>
      <c r="B17" s="605"/>
      <c r="C17" s="609" t="s">
        <v>629</v>
      </c>
      <c r="D17" s="609"/>
      <c r="E17" s="609"/>
      <c r="F17" s="609"/>
      <c r="G17" s="609"/>
      <c r="H17" s="609"/>
      <c r="I17" s="609"/>
      <c r="J17" s="470"/>
      <c r="K17"/>
      <c r="L17"/>
      <c r="M17"/>
      <c r="N17"/>
      <c r="O17"/>
      <c r="P17"/>
      <c r="Q17"/>
      <c r="R17"/>
      <c r="S17"/>
      <c r="T17"/>
      <c r="U17"/>
      <c r="V17"/>
      <c r="W17"/>
      <c r="X17"/>
      <c r="Y17"/>
      <c r="Z17"/>
      <c r="AA17"/>
      <c r="AB17"/>
      <c r="AC17"/>
      <c r="AD17"/>
      <c r="AE17"/>
      <c r="AF17"/>
      <c r="AG17"/>
      <c r="AH17"/>
      <c r="AI17"/>
      <c r="AJ17"/>
      <c r="AK17"/>
      <c r="AL17"/>
      <c r="AM17"/>
      <c r="AN17"/>
      <c r="AO17"/>
    </row>
    <row r="18" spans="1:41" ht="15" customHeight="1" x14ac:dyDescent="0.25">
      <c r="A18" s="571"/>
      <c r="B18" s="605"/>
      <c r="C18" s="477" t="s">
        <v>630</v>
      </c>
      <c r="D18" s="477" t="s">
        <v>631</v>
      </c>
      <c r="E18" s="477" t="s">
        <v>632</v>
      </c>
      <c r="F18" s="608"/>
      <c r="G18" s="608"/>
      <c r="H18" s="610"/>
      <c r="I18" s="610"/>
      <c r="J18" s="470"/>
      <c r="K18"/>
      <c r="L18"/>
      <c r="M18"/>
      <c r="N18"/>
      <c r="O18"/>
      <c r="P18"/>
      <c r="Q18"/>
      <c r="R18"/>
      <c r="S18"/>
      <c r="T18"/>
      <c r="U18"/>
      <c r="V18"/>
      <c r="W18"/>
      <c r="X18"/>
      <c r="Y18"/>
      <c r="Z18"/>
      <c r="AA18"/>
      <c r="AB18"/>
      <c r="AC18"/>
      <c r="AD18"/>
      <c r="AE18"/>
      <c r="AF18"/>
      <c r="AG18"/>
      <c r="AH18"/>
      <c r="AI18"/>
      <c r="AJ18"/>
      <c r="AK18"/>
      <c r="AL18"/>
      <c r="AM18"/>
      <c r="AN18"/>
      <c r="AO18"/>
    </row>
    <row r="19" spans="1:41" x14ac:dyDescent="0.25">
      <c r="A19" s="571"/>
      <c r="B19" s="605"/>
      <c r="C19" s="477">
        <v>0.5</v>
      </c>
      <c r="D19" s="478">
        <v>0.75</v>
      </c>
      <c r="E19" s="479" t="s">
        <v>633</v>
      </c>
      <c r="F19" s="610"/>
      <c r="G19" s="610"/>
      <c r="H19" s="610"/>
      <c r="I19" s="610"/>
      <c r="J19" s="470"/>
      <c r="K19"/>
      <c r="L19"/>
      <c r="M19"/>
      <c r="N19"/>
      <c r="O19"/>
      <c r="P19"/>
      <c r="Q19"/>
      <c r="R19"/>
      <c r="S19"/>
      <c r="T19"/>
      <c r="U19"/>
      <c r="V19"/>
      <c r="W19"/>
      <c r="X19"/>
      <c r="Y19"/>
      <c r="Z19"/>
      <c r="AA19"/>
      <c r="AB19"/>
      <c r="AC19"/>
      <c r="AD19"/>
      <c r="AE19"/>
      <c r="AF19"/>
      <c r="AG19"/>
      <c r="AH19"/>
      <c r="AI19"/>
      <c r="AJ19"/>
      <c r="AK19"/>
      <c r="AL19"/>
      <c r="AM19"/>
      <c r="AN19"/>
      <c r="AO19"/>
    </row>
    <row r="20" spans="1:41" x14ac:dyDescent="0.25">
      <c r="A20" s="571"/>
      <c r="B20" s="605"/>
      <c r="C20" s="477">
        <v>1.5</v>
      </c>
      <c r="D20" s="478">
        <v>0.15</v>
      </c>
      <c r="E20" s="479">
        <v>2.4899999999999999E-2</v>
      </c>
      <c r="F20" s="610"/>
      <c r="G20" s="610"/>
      <c r="H20" s="610"/>
      <c r="I20" s="610"/>
      <c r="J20" s="470"/>
      <c r="K20"/>
      <c r="L20"/>
      <c r="M20"/>
      <c r="N20"/>
      <c r="O20"/>
      <c r="P20"/>
      <c r="Q20"/>
      <c r="R20"/>
      <c r="S20"/>
      <c r="T20"/>
      <c r="U20"/>
      <c r="V20"/>
      <c r="W20"/>
      <c r="X20"/>
      <c r="Y20"/>
      <c r="Z20"/>
      <c r="AA20"/>
      <c r="AB20"/>
      <c r="AC20"/>
      <c r="AD20"/>
      <c r="AE20"/>
      <c r="AF20"/>
      <c r="AG20"/>
      <c r="AH20"/>
      <c r="AI20"/>
      <c r="AJ20"/>
      <c r="AK20"/>
      <c r="AL20"/>
      <c r="AM20"/>
      <c r="AN20"/>
      <c r="AO20"/>
    </row>
    <row r="21" spans="1:41" x14ac:dyDescent="0.25">
      <c r="A21" s="571"/>
      <c r="B21" s="605"/>
      <c r="C21" s="477">
        <v>2.5</v>
      </c>
      <c r="D21" s="478">
        <v>0.1</v>
      </c>
      <c r="E21" s="479">
        <v>2.6100000000000002E-2</v>
      </c>
      <c r="F21" s="610"/>
      <c r="G21" s="610"/>
      <c r="H21" s="610"/>
      <c r="I21" s="610"/>
      <c r="J21" s="470"/>
      <c r="K21"/>
      <c r="L21"/>
      <c r="M21"/>
      <c r="N21"/>
      <c r="O21"/>
      <c r="P21"/>
      <c r="Q21"/>
      <c r="R21"/>
      <c r="S21"/>
      <c r="T21"/>
      <c r="U21"/>
      <c r="V21"/>
      <c r="W21"/>
      <c r="X21"/>
      <c r="Y21"/>
      <c r="Z21"/>
      <c r="AA21"/>
      <c r="AB21"/>
      <c r="AC21"/>
      <c r="AD21"/>
      <c r="AE21"/>
      <c r="AF21"/>
      <c r="AG21"/>
      <c r="AH21"/>
      <c r="AI21"/>
      <c r="AJ21"/>
      <c r="AK21"/>
      <c r="AL21"/>
      <c r="AM21"/>
      <c r="AN21"/>
      <c r="AO21"/>
    </row>
    <row r="22" spans="1:41" x14ac:dyDescent="0.25">
      <c r="A22" s="571"/>
      <c r="B22" s="605"/>
      <c r="C22" s="608"/>
      <c r="D22" s="610"/>
      <c r="E22" s="610"/>
      <c r="F22" s="610"/>
      <c r="G22" s="610"/>
      <c r="H22" s="610"/>
      <c r="I22" s="610"/>
      <c r="J22" s="470"/>
      <c r="K22"/>
      <c r="L22"/>
      <c r="M22"/>
      <c r="N22"/>
      <c r="O22"/>
      <c r="P22"/>
      <c r="Q22"/>
      <c r="R22"/>
      <c r="S22"/>
      <c r="T22"/>
      <c r="U22"/>
      <c r="V22"/>
      <c r="W22"/>
      <c r="X22"/>
      <c r="Y22"/>
      <c r="Z22"/>
      <c r="AA22"/>
      <c r="AB22"/>
      <c r="AC22"/>
      <c r="AD22"/>
      <c r="AE22"/>
      <c r="AF22"/>
      <c r="AG22"/>
      <c r="AH22"/>
      <c r="AI22"/>
      <c r="AJ22"/>
      <c r="AK22"/>
      <c r="AL22"/>
      <c r="AM22"/>
      <c r="AN22"/>
      <c r="AO22"/>
    </row>
    <row r="23" spans="1:41" x14ac:dyDescent="0.25">
      <c r="A23" s="571"/>
      <c r="B23" s="605"/>
      <c r="C23" s="480" t="s">
        <v>634</v>
      </c>
      <c r="D23" s="610"/>
      <c r="E23" s="610"/>
      <c r="F23" s="610"/>
      <c r="G23" s="610"/>
      <c r="H23" s="610"/>
      <c r="I23" s="610"/>
      <c r="J23" s="470"/>
      <c r="K23"/>
      <c r="L23"/>
      <c r="M23"/>
      <c r="N23"/>
      <c r="O23"/>
      <c r="P23"/>
      <c r="Q23"/>
      <c r="R23"/>
      <c r="S23"/>
      <c r="T23"/>
      <c r="U23"/>
      <c r="V23"/>
      <c r="W23"/>
      <c r="X23"/>
      <c r="Y23"/>
      <c r="Z23"/>
      <c r="AA23"/>
      <c r="AB23"/>
      <c r="AC23"/>
      <c r="AD23"/>
      <c r="AE23"/>
      <c r="AF23"/>
      <c r="AG23"/>
      <c r="AH23"/>
      <c r="AI23"/>
      <c r="AJ23"/>
      <c r="AK23"/>
      <c r="AL23"/>
      <c r="AM23"/>
      <c r="AN23"/>
      <c r="AO23"/>
    </row>
    <row r="24" spans="1:41" x14ac:dyDescent="0.25">
      <c r="A24" s="571"/>
      <c r="B24" s="605"/>
      <c r="C24" s="480"/>
      <c r="D24" s="610"/>
      <c r="E24" s="610"/>
      <c r="F24" s="610"/>
      <c r="G24" s="610"/>
      <c r="H24" s="610"/>
      <c r="I24" s="610"/>
      <c r="J24" s="470"/>
      <c r="K24"/>
      <c r="L24"/>
      <c r="M24"/>
      <c r="N24"/>
      <c r="O24"/>
      <c r="P24"/>
      <c r="Q24"/>
      <c r="R24"/>
      <c r="S24"/>
      <c r="T24"/>
      <c r="U24"/>
      <c r="V24"/>
      <c r="W24"/>
      <c r="X24"/>
      <c r="Y24"/>
      <c r="Z24"/>
      <c r="AA24"/>
      <c r="AB24"/>
      <c r="AC24"/>
      <c r="AD24"/>
      <c r="AE24"/>
      <c r="AF24"/>
      <c r="AG24"/>
      <c r="AH24"/>
      <c r="AI24"/>
      <c r="AJ24"/>
      <c r="AK24"/>
      <c r="AL24"/>
      <c r="AM24"/>
      <c r="AN24"/>
      <c r="AO24"/>
    </row>
    <row r="25" spans="1:41" x14ac:dyDescent="0.25">
      <c r="A25" s="571"/>
      <c r="B25" s="605"/>
      <c r="C25" s="608"/>
      <c r="D25" s="727" t="s">
        <v>635</v>
      </c>
      <c r="E25" s="727"/>
      <c r="F25" s="727"/>
      <c r="G25" s="727"/>
      <c r="H25" s="727"/>
      <c r="I25" s="611"/>
      <c r="J25" s="470"/>
      <c r="K25"/>
      <c r="L25"/>
      <c r="M25"/>
      <c r="N25"/>
      <c r="O25"/>
      <c r="P25"/>
      <c r="Q25"/>
      <c r="R25"/>
      <c r="S25"/>
      <c r="T25"/>
      <c r="U25"/>
      <c r="V25"/>
      <c r="W25"/>
      <c r="X25"/>
      <c r="Y25"/>
      <c r="Z25"/>
      <c r="AA25"/>
      <c r="AB25"/>
      <c r="AC25"/>
      <c r="AD25"/>
      <c r="AE25"/>
      <c r="AF25"/>
      <c r="AG25"/>
      <c r="AH25"/>
      <c r="AI25"/>
      <c r="AJ25"/>
      <c r="AK25"/>
      <c r="AL25"/>
      <c r="AM25"/>
      <c r="AN25"/>
      <c r="AO25"/>
    </row>
    <row r="26" spans="1:41" x14ac:dyDescent="0.25">
      <c r="A26" s="571"/>
      <c r="B26" s="605"/>
      <c r="C26" s="608"/>
      <c r="D26" s="481" t="s">
        <v>636</v>
      </c>
      <c r="E26" s="481" t="s">
        <v>637</v>
      </c>
      <c r="F26" s="481" t="s">
        <v>638</v>
      </c>
      <c r="G26" s="481" t="s">
        <v>276</v>
      </c>
      <c r="H26" s="481" t="s">
        <v>639</v>
      </c>
      <c r="I26" s="611"/>
      <c r="J26" s="470"/>
      <c r="K26"/>
      <c r="L26"/>
      <c r="M26"/>
      <c r="N26"/>
      <c r="O26"/>
      <c r="P26"/>
      <c r="Q26"/>
      <c r="R26"/>
      <c r="S26"/>
      <c r="T26"/>
      <c r="U26"/>
      <c r="V26"/>
      <c r="W26"/>
      <c r="X26"/>
      <c r="Y26"/>
      <c r="Z26"/>
      <c r="AA26"/>
      <c r="AB26"/>
      <c r="AC26"/>
      <c r="AD26"/>
      <c r="AE26"/>
      <c r="AF26"/>
      <c r="AG26"/>
      <c r="AH26"/>
      <c r="AI26"/>
      <c r="AJ26"/>
      <c r="AK26"/>
      <c r="AL26"/>
      <c r="AM26"/>
      <c r="AN26"/>
      <c r="AO26"/>
    </row>
    <row r="27" spans="1:41" x14ac:dyDescent="0.25">
      <c r="A27" s="571"/>
      <c r="B27" s="605"/>
      <c r="C27" s="482" t="s">
        <v>640</v>
      </c>
      <c r="D27" s="483">
        <v>1.7899999999999999E-2</v>
      </c>
      <c r="E27" s="483">
        <v>2.2800000000000001E-2</v>
      </c>
      <c r="F27" s="483">
        <v>2.2499999999999999E-2</v>
      </c>
      <c r="G27" s="483">
        <v>3.09E-2</v>
      </c>
      <c r="H27" s="483">
        <v>2.8500000000000001E-2</v>
      </c>
      <c r="I27" s="612"/>
      <c r="J27" s="470"/>
      <c r="K27"/>
      <c r="L27"/>
      <c r="M27"/>
      <c r="N27"/>
      <c r="O27"/>
      <c r="P27"/>
      <c r="Q27"/>
      <c r="R27"/>
      <c r="S27"/>
      <c r="T27"/>
      <c r="U27"/>
      <c r="V27"/>
      <c r="W27"/>
      <c r="X27"/>
      <c r="Y27"/>
      <c r="Z27"/>
      <c r="AA27"/>
      <c r="AB27"/>
      <c r="AC27"/>
      <c r="AD27"/>
      <c r="AE27"/>
      <c r="AF27"/>
      <c r="AG27"/>
      <c r="AH27"/>
      <c r="AI27"/>
      <c r="AJ27"/>
      <c r="AK27"/>
      <c r="AL27"/>
      <c r="AM27"/>
      <c r="AN27"/>
      <c r="AO27"/>
    </row>
    <row r="28" spans="1:41" x14ac:dyDescent="0.25">
      <c r="A28" s="571"/>
      <c r="B28" s="605"/>
      <c r="C28" s="482" t="s">
        <v>641</v>
      </c>
      <c r="D28" s="483">
        <v>0</v>
      </c>
      <c r="E28" s="483">
        <v>5.9999999999999995E-4</v>
      </c>
      <c r="F28" s="483">
        <v>6.9999999999999999E-4</v>
      </c>
      <c r="G28" s="483">
        <v>1.9E-3</v>
      </c>
      <c r="H28" s="483">
        <v>5.7000000000000002E-3</v>
      </c>
      <c r="I28" s="612"/>
      <c r="J28" s="470"/>
      <c r="K28"/>
      <c r="L28"/>
      <c r="M28"/>
      <c r="N28"/>
      <c r="O28"/>
      <c r="P28" s="484"/>
      <c r="Q28"/>
      <c r="R28"/>
      <c r="S28"/>
      <c r="T28"/>
      <c r="U28"/>
      <c r="V28"/>
      <c r="W28"/>
      <c r="X28"/>
      <c r="Y28"/>
      <c r="Z28"/>
      <c r="AA28"/>
      <c r="AB28"/>
      <c r="AC28"/>
      <c r="AD28"/>
      <c r="AE28"/>
      <c r="AF28"/>
      <c r="AG28"/>
      <c r="AH28"/>
      <c r="AI28"/>
      <c r="AJ28"/>
      <c r="AK28"/>
      <c r="AL28"/>
      <c r="AM28"/>
      <c r="AN28"/>
      <c r="AO28"/>
    </row>
    <row r="29" spans="1:41" x14ac:dyDescent="0.25">
      <c r="A29" s="571"/>
      <c r="B29" s="605"/>
      <c r="C29" s="482" t="s">
        <v>642</v>
      </c>
      <c r="D29" s="483">
        <v>0</v>
      </c>
      <c r="E29" s="483">
        <v>0</v>
      </c>
      <c r="F29" s="483">
        <v>0</v>
      </c>
      <c r="G29" s="483">
        <v>0</v>
      </c>
      <c r="H29" s="483">
        <v>0</v>
      </c>
      <c r="I29" s="612"/>
      <c r="J29" s="470"/>
      <c r="K29"/>
      <c r="L29"/>
      <c r="M29"/>
      <c r="N29"/>
      <c r="O29"/>
      <c r="P29" s="484"/>
      <c r="Q29"/>
      <c r="R29"/>
      <c r="S29"/>
      <c r="T29"/>
      <c r="U29"/>
      <c r="V29"/>
      <c r="W29"/>
      <c r="X29"/>
      <c r="Y29"/>
      <c r="Z29"/>
      <c r="AA29"/>
      <c r="AB29"/>
      <c r="AC29"/>
      <c r="AD29"/>
      <c r="AE29"/>
      <c r="AF29"/>
      <c r="AG29"/>
      <c r="AH29"/>
      <c r="AI29"/>
      <c r="AJ29"/>
      <c r="AK29"/>
      <c r="AL29"/>
      <c r="AM29"/>
      <c r="AN29"/>
      <c r="AO29"/>
    </row>
    <row r="30" spans="1:41" x14ac:dyDescent="0.25">
      <c r="A30" s="571"/>
      <c r="B30" s="605"/>
      <c r="C30" s="608"/>
      <c r="D30" s="610"/>
      <c r="E30" s="610"/>
      <c r="F30" s="610"/>
      <c r="G30" s="610"/>
      <c r="H30" s="610"/>
      <c r="I30" s="610"/>
      <c r="J30" s="470"/>
      <c r="K30"/>
      <c r="L30"/>
      <c r="M30"/>
      <c r="N30"/>
      <c r="O30"/>
      <c r="P30"/>
      <c r="Q30"/>
      <c r="R30"/>
      <c r="S30"/>
      <c r="T30"/>
      <c r="U30"/>
      <c r="V30"/>
      <c r="W30"/>
      <c r="X30"/>
      <c r="Y30"/>
      <c r="Z30"/>
      <c r="AA30"/>
      <c r="AB30"/>
      <c r="AC30"/>
      <c r="AD30"/>
      <c r="AE30"/>
      <c r="AF30"/>
      <c r="AG30"/>
      <c r="AH30"/>
      <c r="AI30"/>
      <c r="AJ30"/>
      <c r="AK30"/>
      <c r="AL30"/>
      <c r="AM30"/>
      <c r="AN30"/>
      <c r="AO30"/>
    </row>
    <row r="31" spans="1:41" x14ac:dyDescent="0.25">
      <c r="A31" s="571"/>
      <c r="B31" s="605"/>
      <c r="C31" s="480" t="s">
        <v>643</v>
      </c>
      <c r="D31" s="610"/>
      <c r="E31" s="610"/>
      <c r="F31" s="610"/>
      <c r="G31" s="610"/>
      <c r="H31" s="610"/>
      <c r="I31" s="610"/>
      <c r="J31" s="470"/>
      <c r="K31"/>
      <c r="L31"/>
      <c r="M31"/>
      <c r="N31"/>
      <c r="O31"/>
      <c r="P31"/>
      <c r="Q31"/>
      <c r="R31"/>
      <c r="S31"/>
      <c r="T31"/>
      <c r="U31"/>
      <c r="V31"/>
      <c r="W31"/>
      <c r="X31"/>
      <c r="Y31"/>
      <c r="Z31"/>
      <c r="AA31"/>
      <c r="AB31"/>
      <c r="AC31"/>
      <c r="AD31"/>
      <c r="AE31"/>
      <c r="AF31"/>
      <c r="AG31"/>
      <c r="AH31"/>
      <c r="AI31"/>
      <c r="AJ31"/>
      <c r="AK31"/>
      <c r="AL31"/>
      <c r="AM31"/>
      <c r="AN31"/>
      <c r="AO31"/>
    </row>
    <row r="32" spans="1:41" x14ac:dyDescent="0.25">
      <c r="A32" s="571"/>
      <c r="B32" s="605"/>
      <c r="C32" s="608"/>
      <c r="D32" s="728" t="s">
        <v>635</v>
      </c>
      <c r="E32" s="729"/>
      <c r="F32" s="729"/>
      <c r="G32" s="730"/>
      <c r="H32" s="610"/>
      <c r="I32" s="610"/>
      <c r="J32" s="470"/>
      <c r="K32"/>
      <c r="L32"/>
      <c r="M32"/>
      <c r="N32"/>
      <c r="O32"/>
      <c r="P32"/>
      <c r="Q32"/>
      <c r="R32"/>
      <c r="S32"/>
      <c r="T32"/>
      <c r="U32"/>
      <c r="V32"/>
      <c r="W32"/>
      <c r="X32"/>
      <c r="Y32"/>
      <c r="Z32"/>
      <c r="AA32"/>
      <c r="AB32"/>
      <c r="AC32"/>
      <c r="AD32"/>
      <c r="AE32"/>
      <c r="AF32"/>
      <c r="AG32"/>
      <c r="AH32"/>
      <c r="AI32"/>
      <c r="AJ32"/>
      <c r="AK32"/>
      <c r="AL32"/>
      <c r="AM32"/>
      <c r="AN32"/>
      <c r="AO32"/>
    </row>
    <row r="33" spans="1:41" x14ac:dyDescent="0.25">
      <c r="A33" s="571"/>
      <c r="B33" s="605"/>
      <c r="C33" s="608"/>
      <c r="D33" s="481" t="s">
        <v>637</v>
      </c>
      <c r="E33" s="481" t="s">
        <v>638</v>
      </c>
      <c r="F33" s="481" t="s">
        <v>276</v>
      </c>
      <c r="G33" s="481" t="s">
        <v>639</v>
      </c>
      <c r="H33" s="610"/>
      <c r="I33" s="610"/>
      <c r="J33" s="470"/>
      <c r="K33"/>
      <c r="L33"/>
      <c r="M33"/>
      <c r="N33"/>
      <c r="O33"/>
      <c r="P33"/>
      <c r="Q33"/>
      <c r="R33"/>
      <c r="S33"/>
      <c r="T33"/>
      <c r="U33"/>
      <c r="V33"/>
      <c r="W33"/>
      <c r="X33"/>
      <c r="Y33"/>
      <c r="Z33"/>
      <c r="AA33"/>
      <c r="AB33"/>
      <c r="AC33"/>
      <c r="AD33"/>
      <c r="AE33"/>
      <c r="AF33"/>
      <c r="AG33"/>
      <c r="AH33"/>
      <c r="AI33"/>
      <c r="AJ33"/>
      <c r="AK33"/>
      <c r="AL33"/>
      <c r="AM33"/>
      <c r="AN33"/>
      <c r="AO33"/>
    </row>
    <row r="34" spans="1:41" x14ac:dyDescent="0.25">
      <c r="A34" s="571"/>
      <c r="B34" s="605"/>
      <c r="C34" s="482" t="s">
        <v>644</v>
      </c>
      <c r="D34" s="478">
        <v>0.09</v>
      </c>
      <c r="E34" s="478">
        <v>0.28000000000000003</v>
      </c>
      <c r="F34" s="478">
        <v>0.28000000000000003</v>
      </c>
      <c r="G34" s="478">
        <v>0.35</v>
      </c>
      <c r="H34" s="610"/>
      <c r="I34" s="610"/>
      <c r="J34" s="470"/>
      <c r="K34"/>
      <c r="L34" s="485"/>
      <c r="M34"/>
      <c r="N34"/>
      <c r="O34"/>
      <c r="P34"/>
      <c r="Q34"/>
      <c r="R34"/>
      <c r="S34"/>
      <c r="T34"/>
      <c r="U34"/>
      <c r="V34"/>
      <c r="W34"/>
      <c r="X34"/>
      <c r="Y34"/>
      <c r="Z34"/>
      <c r="AA34"/>
      <c r="AB34"/>
      <c r="AC34"/>
      <c r="AD34"/>
      <c r="AE34"/>
      <c r="AF34"/>
      <c r="AG34"/>
      <c r="AH34"/>
      <c r="AI34"/>
      <c r="AJ34"/>
      <c r="AK34"/>
      <c r="AL34"/>
      <c r="AM34"/>
      <c r="AN34"/>
      <c r="AO34"/>
    </row>
    <row r="35" spans="1:41" x14ac:dyDescent="0.25">
      <c r="A35" s="571"/>
      <c r="B35" s="605"/>
      <c r="C35" s="608"/>
      <c r="D35" s="610"/>
      <c r="E35" s="610"/>
      <c r="F35" s="610"/>
      <c r="G35" s="610"/>
      <c r="H35" s="610"/>
      <c r="I35" s="610"/>
      <c r="J35" s="470"/>
      <c r="K35"/>
      <c r="L35" s="485"/>
      <c r="M35"/>
      <c r="N35"/>
      <c r="O35"/>
      <c r="P35"/>
      <c r="Q35"/>
      <c r="R35"/>
      <c r="S35"/>
      <c r="T35"/>
      <c r="U35"/>
      <c r="V35"/>
      <c r="W35"/>
      <c r="X35"/>
      <c r="Y35"/>
      <c r="Z35"/>
      <c r="AA35"/>
      <c r="AB35"/>
      <c r="AC35"/>
      <c r="AD35"/>
      <c r="AE35"/>
      <c r="AF35"/>
      <c r="AG35"/>
      <c r="AH35"/>
      <c r="AI35"/>
      <c r="AJ35"/>
      <c r="AK35"/>
      <c r="AL35"/>
      <c r="AM35"/>
      <c r="AN35"/>
      <c r="AO35"/>
    </row>
    <row r="36" spans="1:41" x14ac:dyDescent="0.25">
      <c r="A36" s="571" t="s">
        <v>13</v>
      </c>
      <c r="B36" s="605" t="s">
        <v>0</v>
      </c>
      <c r="C36" s="606" t="s">
        <v>645</v>
      </c>
      <c r="D36" s="607"/>
      <c r="E36" s="607"/>
      <c r="F36" s="607"/>
      <c r="G36" s="607"/>
      <c r="H36" s="607"/>
      <c r="I36" s="607"/>
      <c r="J36" s="470"/>
      <c r="K36"/>
      <c r="L36" s="486"/>
      <c r="M36"/>
      <c r="N36"/>
      <c r="O36"/>
      <c r="P36"/>
      <c r="Q36"/>
      <c r="R36"/>
      <c r="S36"/>
      <c r="T36"/>
      <c r="U36"/>
      <c r="V36"/>
      <c r="W36"/>
      <c r="X36"/>
      <c r="Y36"/>
      <c r="Z36"/>
      <c r="AA36"/>
      <c r="AB36"/>
      <c r="AC36"/>
      <c r="AD36"/>
      <c r="AE36"/>
      <c r="AF36"/>
      <c r="AG36"/>
      <c r="AH36"/>
      <c r="AI36"/>
      <c r="AJ36"/>
      <c r="AK36"/>
      <c r="AL36"/>
      <c r="AM36"/>
      <c r="AN36"/>
      <c r="AO36"/>
    </row>
    <row r="37" spans="1:41" x14ac:dyDescent="0.25">
      <c r="A37" s="571"/>
      <c r="B37" s="605"/>
      <c r="C37" s="606"/>
      <c r="D37" s="607"/>
      <c r="E37" s="607"/>
      <c r="F37" s="607"/>
      <c r="G37" s="607"/>
      <c r="H37" s="607"/>
      <c r="I37" s="607"/>
      <c r="J37" s="470"/>
      <c r="K37"/>
      <c r="L37" s="487"/>
      <c r="M37"/>
      <c r="N37"/>
      <c r="O37"/>
      <c r="P37"/>
      <c r="Q37"/>
      <c r="R37"/>
      <c r="S37"/>
      <c r="T37"/>
      <c r="U37"/>
      <c r="V37"/>
      <c r="W37"/>
      <c r="X37"/>
      <c r="Y37"/>
      <c r="Z37"/>
      <c r="AA37"/>
      <c r="AB37"/>
      <c r="AC37"/>
      <c r="AD37"/>
      <c r="AE37"/>
      <c r="AF37"/>
      <c r="AG37"/>
      <c r="AH37"/>
      <c r="AI37"/>
      <c r="AJ37"/>
      <c r="AK37"/>
      <c r="AL37"/>
      <c r="AM37"/>
      <c r="AN37"/>
      <c r="AO37"/>
    </row>
    <row r="38" spans="1:41" x14ac:dyDescent="0.25">
      <c r="A38" s="571" t="s">
        <v>27</v>
      </c>
      <c r="B38" s="605" t="s">
        <v>25</v>
      </c>
      <c r="C38" s="606" t="s">
        <v>646</v>
      </c>
      <c r="D38" s="607"/>
      <c r="E38" s="607"/>
      <c r="F38" s="607"/>
      <c r="G38" s="607"/>
      <c r="H38" s="607"/>
      <c r="I38" s="607"/>
      <c r="J38" s="470"/>
      <c r="K38"/>
      <c r="L38" s="485"/>
      <c r="M38"/>
      <c r="N38"/>
      <c r="O38"/>
      <c r="P38"/>
      <c r="Q38"/>
      <c r="R38"/>
      <c r="S38"/>
      <c r="T38"/>
      <c r="U38"/>
      <c r="V38"/>
      <c r="W38"/>
      <c r="X38"/>
      <c r="Y38"/>
      <c r="Z38"/>
      <c r="AA38"/>
      <c r="AB38"/>
      <c r="AC38"/>
      <c r="AD38"/>
      <c r="AE38"/>
      <c r="AF38"/>
      <c r="AG38"/>
      <c r="AH38"/>
      <c r="AI38"/>
      <c r="AJ38"/>
      <c r="AK38"/>
      <c r="AL38"/>
      <c r="AM38"/>
      <c r="AN38"/>
      <c r="AO38"/>
    </row>
    <row r="39" spans="1:41" x14ac:dyDescent="0.25">
      <c r="A39" s="571"/>
      <c r="B39" s="605"/>
      <c r="C39" s="606"/>
      <c r="D39" s="607"/>
      <c r="E39" s="607"/>
      <c r="F39" s="607"/>
      <c r="G39" s="607"/>
      <c r="H39" s="607"/>
      <c r="I39" s="607"/>
      <c r="J39" s="470"/>
      <c r="K39"/>
      <c r="L39" s="485"/>
      <c r="M39"/>
      <c r="N39"/>
      <c r="O39"/>
      <c r="P39"/>
      <c r="Q39"/>
      <c r="R39"/>
      <c r="S39"/>
      <c r="T39"/>
      <c r="U39"/>
      <c r="V39"/>
      <c r="W39"/>
      <c r="X39"/>
      <c r="Y39"/>
      <c r="Z39"/>
      <c r="AA39"/>
      <c r="AB39"/>
      <c r="AC39"/>
      <c r="AD39"/>
      <c r="AE39"/>
      <c r="AF39"/>
      <c r="AG39"/>
      <c r="AH39"/>
      <c r="AI39"/>
      <c r="AJ39"/>
      <c r="AK39"/>
      <c r="AL39"/>
      <c r="AM39"/>
      <c r="AN39"/>
      <c r="AO39"/>
    </row>
    <row r="40" spans="1:41" x14ac:dyDescent="0.25">
      <c r="A40" s="571" t="s">
        <v>133</v>
      </c>
      <c r="B40" s="605" t="s">
        <v>54</v>
      </c>
      <c r="C40" s="606" t="s">
        <v>647</v>
      </c>
      <c r="D40" s="607"/>
      <c r="E40" s="607"/>
      <c r="F40" s="607"/>
      <c r="G40" s="607"/>
      <c r="H40" s="607"/>
      <c r="I40" s="607"/>
      <c r="J40" s="470"/>
      <c r="K40"/>
      <c r="L40" s="485"/>
      <c r="M40"/>
      <c r="N40"/>
      <c r="O40"/>
      <c r="P40"/>
      <c r="Q40"/>
      <c r="R40"/>
      <c r="S40"/>
      <c r="T40"/>
      <c r="U40"/>
      <c r="V40"/>
      <c r="W40"/>
      <c r="X40"/>
      <c r="Y40"/>
      <c r="Z40"/>
      <c r="AA40"/>
      <c r="AB40"/>
      <c r="AC40"/>
      <c r="AD40"/>
      <c r="AE40"/>
      <c r="AF40"/>
      <c r="AG40"/>
      <c r="AH40"/>
      <c r="AI40"/>
      <c r="AJ40"/>
      <c r="AK40"/>
      <c r="AL40"/>
      <c r="AM40"/>
      <c r="AN40"/>
      <c r="AO40"/>
    </row>
    <row r="41" spans="1:41" x14ac:dyDescent="0.25">
      <c r="A41" s="571"/>
      <c r="B41" s="605"/>
      <c r="C41" s="606"/>
      <c r="D41" s="607"/>
      <c r="E41" s="607"/>
      <c r="F41" s="607"/>
      <c r="G41" s="607"/>
      <c r="H41" s="607"/>
      <c r="I41" s="607"/>
      <c r="J41" s="470"/>
      <c r="K41"/>
      <c r="L41" s="485"/>
      <c r="M41"/>
      <c r="N41"/>
      <c r="O41"/>
      <c r="P41"/>
      <c r="Q41"/>
      <c r="R41"/>
      <c r="S41"/>
      <c r="T41"/>
      <c r="U41"/>
      <c r="V41"/>
      <c r="W41"/>
      <c r="X41"/>
      <c r="Y41"/>
      <c r="Z41"/>
      <c r="AA41"/>
      <c r="AB41"/>
      <c r="AC41"/>
      <c r="AD41"/>
      <c r="AE41"/>
      <c r="AF41"/>
      <c r="AG41"/>
      <c r="AH41"/>
      <c r="AI41"/>
      <c r="AJ41"/>
      <c r="AK41"/>
      <c r="AL41"/>
      <c r="AM41"/>
      <c r="AN41"/>
      <c r="AO41"/>
    </row>
    <row r="42" spans="1:41" ht="14.45" customHeight="1" x14ac:dyDescent="0.25">
      <c r="A42" s="571" t="s">
        <v>265</v>
      </c>
      <c r="B42" s="605" t="s">
        <v>0</v>
      </c>
      <c r="C42" s="606" t="s">
        <v>648</v>
      </c>
      <c r="D42" s="607"/>
      <c r="E42" s="607"/>
      <c r="F42" s="607"/>
      <c r="G42" s="607"/>
      <c r="H42" s="607"/>
      <c r="I42" s="606"/>
      <c r="J42" s="613"/>
      <c r="K42"/>
      <c r="L42" s="485"/>
      <c r="M42"/>
      <c r="N42"/>
      <c r="O42"/>
      <c r="P42"/>
      <c r="Q42"/>
      <c r="R42"/>
      <c r="S42"/>
      <c r="T42"/>
      <c r="U42"/>
      <c r="V42"/>
      <c r="W42"/>
      <c r="X42"/>
      <c r="Y42"/>
      <c r="Z42"/>
      <c r="AA42"/>
      <c r="AB42"/>
      <c r="AC42"/>
      <c r="AD42"/>
      <c r="AE42"/>
      <c r="AF42"/>
      <c r="AG42"/>
      <c r="AH42"/>
      <c r="AI42"/>
      <c r="AJ42"/>
      <c r="AK42"/>
      <c r="AL42"/>
      <c r="AM42"/>
      <c r="AN42"/>
      <c r="AO42"/>
    </row>
    <row r="43" spans="1:41" x14ac:dyDescent="0.25">
      <c r="A43" s="571"/>
      <c r="B43" s="605"/>
      <c r="C43" s="606"/>
      <c r="D43" s="607"/>
      <c r="E43" s="607"/>
      <c r="F43" s="607"/>
      <c r="G43" s="607"/>
      <c r="H43" s="607"/>
      <c r="I43" s="607"/>
      <c r="J43" s="470"/>
      <c r="K43"/>
      <c r="L43" s="485"/>
      <c r="M43"/>
      <c r="N43"/>
      <c r="O43"/>
      <c r="P43"/>
      <c r="Q43"/>
      <c r="R43"/>
      <c r="S43"/>
      <c r="T43"/>
      <c r="U43"/>
      <c r="V43"/>
      <c r="W43"/>
      <c r="X43"/>
      <c r="Y43"/>
      <c r="Z43"/>
      <c r="AA43"/>
      <c r="AB43"/>
      <c r="AC43"/>
      <c r="AD43"/>
      <c r="AE43"/>
      <c r="AF43"/>
      <c r="AG43"/>
      <c r="AH43"/>
      <c r="AI43"/>
      <c r="AJ43"/>
      <c r="AK43"/>
      <c r="AL43"/>
      <c r="AM43"/>
      <c r="AN43"/>
      <c r="AO43"/>
    </row>
    <row r="44" spans="1:41" x14ac:dyDescent="0.25">
      <c r="A44" s="571" t="s">
        <v>282</v>
      </c>
      <c r="B44" s="605" t="s">
        <v>25</v>
      </c>
      <c r="C44" s="606" t="s">
        <v>649</v>
      </c>
      <c r="D44" s="607"/>
      <c r="E44" s="607"/>
      <c r="F44" s="607"/>
      <c r="G44" s="607"/>
      <c r="H44" s="607"/>
      <c r="I44" s="607"/>
      <c r="J44" s="470"/>
      <c r="K44"/>
      <c r="L44" s="485"/>
      <c r="M44"/>
      <c r="N44"/>
      <c r="O44"/>
      <c r="P44"/>
      <c r="Q44"/>
      <c r="R44"/>
      <c r="S44"/>
      <c r="T44"/>
      <c r="U44"/>
      <c r="V44"/>
      <c r="W44"/>
      <c r="X44"/>
      <c r="Y44"/>
      <c r="Z44"/>
      <c r="AA44"/>
      <c r="AB44"/>
      <c r="AC44"/>
      <c r="AD44"/>
      <c r="AE44"/>
      <c r="AF44"/>
      <c r="AG44"/>
      <c r="AH44"/>
      <c r="AI44"/>
      <c r="AJ44"/>
      <c r="AK44"/>
      <c r="AL44"/>
      <c r="AM44"/>
      <c r="AN44"/>
      <c r="AO44"/>
    </row>
    <row r="45" spans="1:41" ht="15.75" thickBot="1" x14ac:dyDescent="0.3">
      <c r="A45" s="571"/>
      <c r="B45" s="605"/>
      <c r="C45" s="488"/>
      <c r="D45" s="607"/>
      <c r="E45" s="607"/>
      <c r="F45" s="607"/>
      <c r="G45" s="607"/>
      <c r="H45" s="607"/>
      <c r="I45" s="607"/>
      <c r="J45" s="470"/>
      <c r="K45"/>
      <c r="L45" s="485"/>
      <c r="M45"/>
      <c r="N45"/>
      <c r="O45"/>
      <c r="P45"/>
      <c r="Q45"/>
      <c r="R45"/>
      <c r="S45"/>
      <c r="T45"/>
      <c r="U45"/>
      <c r="V45"/>
      <c r="W45"/>
      <c r="X45"/>
      <c r="Y45"/>
      <c r="Z45"/>
      <c r="AA45"/>
      <c r="AB45"/>
      <c r="AC45"/>
      <c r="AD45"/>
      <c r="AE45"/>
      <c r="AF45"/>
      <c r="AG45"/>
      <c r="AH45"/>
      <c r="AI45"/>
      <c r="AJ45"/>
      <c r="AK45"/>
      <c r="AL45"/>
      <c r="AM45"/>
      <c r="AN45"/>
      <c r="AO45"/>
    </row>
    <row r="46" spans="1:41" ht="15.75" thickBot="1" x14ac:dyDescent="0.3">
      <c r="A46" s="489" t="s">
        <v>137</v>
      </c>
      <c r="B46" s="490"/>
      <c r="C46" s="491"/>
      <c r="D46" s="491"/>
      <c r="E46" s="491"/>
      <c r="F46" s="491"/>
      <c r="G46" s="491"/>
      <c r="H46" s="491"/>
      <c r="I46" s="491"/>
      <c r="J46" s="492"/>
      <c r="K46"/>
      <c r="L46" s="485"/>
      <c r="M46"/>
      <c r="N46"/>
      <c r="O46"/>
      <c r="P46"/>
      <c r="Q46"/>
      <c r="R46"/>
      <c r="S46"/>
      <c r="T46"/>
      <c r="U46"/>
      <c r="V46"/>
      <c r="W46"/>
      <c r="X46"/>
      <c r="Y46"/>
      <c r="Z46"/>
      <c r="AA46"/>
      <c r="AB46"/>
      <c r="AC46"/>
      <c r="AD46"/>
      <c r="AE46"/>
      <c r="AF46"/>
      <c r="AG46"/>
      <c r="AH46"/>
      <c r="AI46"/>
      <c r="AJ46"/>
      <c r="AK46"/>
      <c r="AL46"/>
      <c r="AM46"/>
      <c r="AN46"/>
      <c r="AO46"/>
    </row>
    <row r="47" spans="1:41" x14ac:dyDescent="0.25">
      <c r="A47"/>
      <c r="B47"/>
      <c r="C47"/>
      <c r="D47"/>
      <c r="E47"/>
      <c r="F47"/>
      <c r="G47"/>
      <c r="H47"/>
      <c r="I47"/>
      <c r="J47"/>
      <c r="K47"/>
      <c r="L47" s="485"/>
      <c r="M47"/>
      <c r="N47"/>
      <c r="O47"/>
      <c r="P47"/>
      <c r="Q47"/>
      <c r="R47"/>
      <c r="S47"/>
      <c r="T47"/>
      <c r="U47"/>
      <c r="V47"/>
      <c r="W47"/>
      <c r="X47"/>
      <c r="Y47"/>
      <c r="Z47"/>
      <c r="AA47"/>
      <c r="AB47"/>
      <c r="AC47"/>
      <c r="AD47"/>
      <c r="AE47"/>
      <c r="AF47"/>
      <c r="AG47"/>
      <c r="AH47"/>
      <c r="AI47"/>
      <c r="AJ47"/>
      <c r="AK47"/>
      <c r="AL47"/>
      <c r="AM47"/>
      <c r="AN47"/>
      <c r="AO47"/>
    </row>
    <row r="48" spans="1:41" x14ac:dyDescent="0.25">
      <c r="A48" s="493" t="s">
        <v>13</v>
      </c>
      <c r="B48" s="494">
        <v>0.75</v>
      </c>
      <c r="C48" s="495" t="s">
        <v>650</v>
      </c>
      <c r="K48" s="496"/>
      <c r="L48" s="485"/>
      <c r="M48"/>
      <c r="N48"/>
      <c r="O48"/>
      <c r="P48"/>
      <c r="Q48"/>
      <c r="R48"/>
      <c r="S48"/>
      <c r="T48"/>
      <c r="U48"/>
      <c r="V48"/>
      <c r="W48"/>
      <c r="X48"/>
      <c r="Y48"/>
      <c r="Z48"/>
      <c r="AA48"/>
      <c r="AB48"/>
      <c r="AC48"/>
      <c r="AD48"/>
      <c r="AE48"/>
      <c r="AF48"/>
      <c r="AG48"/>
      <c r="AH48"/>
      <c r="AI48"/>
      <c r="AJ48"/>
      <c r="AK48"/>
      <c r="AL48"/>
      <c r="AM48"/>
      <c r="AN48"/>
    </row>
    <row r="49" spans="1:40" x14ac:dyDescent="0.25">
      <c r="C49" s="498" t="s">
        <v>651</v>
      </c>
      <c r="K49" s="496"/>
      <c r="L49" s="485"/>
      <c r="M49"/>
      <c r="N49"/>
      <c r="O49"/>
      <c r="P49"/>
      <c r="Q49"/>
      <c r="R49"/>
      <c r="S49"/>
      <c r="T49"/>
      <c r="U49"/>
      <c r="V49"/>
      <c r="W49"/>
      <c r="X49"/>
      <c r="Y49"/>
      <c r="Z49"/>
      <c r="AA49"/>
      <c r="AB49"/>
      <c r="AC49"/>
      <c r="AD49"/>
      <c r="AE49"/>
      <c r="AF49"/>
      <c r="AG49"/>
      <c r="AH49"/>
      <c r="AI49"/>
      <c r="AJ49"/>
      <c r="AK49"/>
      <c r="AL49"/>
      <c r="AM49"/>
      <c r="AN49"/>
    </row>
    <row r="50" spans="1:40" x14ac:dyDescent="0.25">
      <c r="C50" s="614">
        <f>E27*D34+F27*E34+G27*F34+H27*G34</f>
        <v>2.6979000000000003E-2</v>
      </c>
      <c r="K50" s="496"/>
      <c r="L50" s="485"/>
      <c r="M50"/>
      <c r="N50"/>
      <c r="O50"/>
      <c r="P50"/>
      <c r="Q50"/>
      <c r="R50"/>
      <c r="S50"/>
      <c r="T50"/>
      <c r="U50"/>
      <c r="V50"/>
      <c r="W50"/>
      <c r="X50"/>
      <c r="Y50"/>
      <c r="Z50"/>
      <c r="AA50"/>
      <c r="AB50"/>
      <c r="AC50"/>
      <c r="AD50"/>
      <c r="AE50"/>
      <c r="AF50"/>
      <c r="AG50"/>
      <c r="AH50"/>
      <c r="AI50"/>
      <c r="AJ50"/>
      <c r="AK50"/>
      <c r="AL50"/>
      <c r="AM50"/>
      <c r="AN50"/>
    </row>
    <row r="51" spans="1:40" x14ac:dyDescent="0.25">
      <c r="C51" s="498" t="s">
        <v>652</v>
      </c>
      <c r="K51" s="496"/>
      <c r="L51" s="485"/>
      <c r="M51"/>
      <c r="N51"/>
      <c r="O51"/>
      <c r="P51"/>
      <c r="Q51"/>
      <c r="R51"/>
      <c r="S51"/>
      <c r="T51"/>
      <c r="U51"/>
      <c r="V51"/>
      <c r="W51"/>
      <c r="X51"/>
      <c r="Y51"/>
      <c r="Z51"/>
      <c r="AA51"/>
      <c r="AB51"/>
      <c r="AC51"/>
      <c r="AD51"/>
      <c r="AE51"/>
      <c r="AF51"/>
      <c r="AG51"/>
      <c r="AH51"/>
      <c r="AI51"/>
      <c r="AJ51"/>
      <c r="AK51"/>
      <c r="AL51"/>
      <c r="AM51"/>
      <c r="AN51"/>
    </row>
    <row r="52" spans="1:40" x14ac:dyDescent="0.25">
      <c r="C52" s="614">
        <f>E28*D34+F28*E34+G28*F34+H28*G34</f>
        <v>2.777E-3</v>
      </c>
      <c r="K52" s="496"/>
      <c r="L52" s="485"/>
      <c r="M52"/>
      <c r="N52"/>
      <c r="O52"/>
      <c r="P52"/>
      <c r="Q52"/>
      <c r="R52"/>
      <c r="S52"/>
      <c r="T52"/>
      <c r="U52"/>
      <c r="V52"/>
      <c r="W52"/>
      <c r="X52"/>
      <c r="Y52"/>
      <c r="Z52"/>
      <c r="AA52"/>
      <c r="AB52"/>
      <c r="AC52"/>
      <c r="AD52"/>
      <c r="AE52"/>
      <c r="AF52"/>
      <c r="AG52"/>
      <c r="AH52"/>
      <c r="AI52"/>
      <c r="AJ52"/>
      <c r="AK52"/>
      <c r="AL52"/>
      <c r="AM52"/>
      <c r="AN52"/>
    </row>
    <row r="53" spans="1:40" x14ac:dyDescent="0.25">
      <c r="C53" s="498" t="s">
        <v>653</v>
      </c>
      <c r="K53" s="496"/>
      <c r="L53" s="485"/>
      <c r="M53"/>
      <c r="N53"/>
      <c r="O53"/>
      <c r="P53"/>
      <c r="Q53"/>
      <c r="R53"/>
      <c r="S53"/>
      <c r="T53"/>
      <c r="U53"/>
      <c r="V53"/>
      <c r="W53"/>
      <c r="X53"/>
      <c r="Y53"/>
      <c r="Z53"/>
      <c r="AA53"/>
      <c r="AB53"/>
      <c r="AC53"/>
      <c r="AD53"/>
      <c r="AE53"/>
      <c r="AF53"/>
      <c r="AG53"/>
      <c r="AH53"/>
      <c r="AI53"/>
      <c r="AJ53"/>
      <c r="AK53"/>
      <c r="AL53"/>
      <c r="AM53"/>
      <c r="AN53"/>
    </row>
    <row r="54" spans="1:40" x14ac:dyDescent="0.25">
      <c r="C54" s="499">
        <f>C50-C52</f>
        <v>2.4202000000000001E-2</v>
      </c>
      <c r="K54" s="496"/>
      <c r="L54" s="485"/>
      <c r="M54"/>
      <c r="N54"/>
      <c r="O54"/>
      <c r="P54"/>
      <c r="Q54"/>
      <c r="R54"/>
      <c r="S54"/>
      <c r="T54"/>
      <c r="U54"/>
      <c r="V54"/>
      <c r="W54"/>
      <c r="X54"/>
      <c r="Y54"/>
      <c r="Z54"/>
      <c r="AA54"/>
      <c r="AB54"/>
      <c r="AC54"/>
      <c r="AD54"/>
      <c r="AE54"/>
      <c r="AF54"/>
      <c r="AG54"/>
      <c r="AH54"/>
      <c r="AI54"/>
      <c r="AJ54"/>
      <c r="AK54"/>
      <c r="AL54"/>
      <c r="AM54"/>
      <c r="AN54"/>
    </row>
    <row r="55" spans="1:40" x14ac:dyDescent="0.25">
      <c r="K55" s="496"/>
      <c r="L55" s="485"/>
      <c r="M55"/>
      <c r="N55"/>
      <c r="O55"/>
      <c r="P55"/>
      <c r="Q55"/>
      <c r="R55"/>
      <c r="S55"/>
      <c r="T55"/>
      <c r="U55"/>
      <c r="V55"/>
      <c r="W55"/>
      <c r="X55"/>
      <c r="Y55"/>
      <c r="Z55"/>
      <c r="AA55"/>
      <c r="AB55"/>
      <c r="AC55"/>
      <c r="AD55"/>
      <c r="AE55"/>
      <c r="AF55"/>
      <c r="AG55"/>
      <c r="AH55"/>
      <c r="AI55"/>
      <c r="AJ55"/>
      <c r="AK55"/>
      <c r="AL55"/>
      <c r="AM55"/>
      <c r="AN55"/>
    </row>
    <row r="56" spans="1:40" x14ac:dyDescent="0.25">
      <c r="A56" s="493" t="s">
        <v>27</v>
      </c>
      <c r="B56" s="494">
        <v>0.5</v>
      </c>
      <c r="C56" s="495" t="s">
        <v>654</v>
      </c>
      <c r="K56" s="496"/>
      <c r="L56" s="485"/>
      <c r="M56"/>
      <c r="N56"/>
      <c r="O56"/>
      <c r="P56"/>
      <c r="Q56"/>
      <c r="R56"/>
      <c r="S56"/>
      <c r="T56"/>
      <c r="U56"/>
      <c r="V56"/>
      <c r="W56"/>
      <c r="X56"/>
      <c r="Y56"/>
      <c r="Z56"/>
      <c r="AA56"/>
      <c r="AB56"/>
      <c r="AC56"/>
      <c r="AD56"/>
      <c r="AE56"/>
      <c r="AF56"/>
      <c r="AG56"/>
      <c r="AH56"/>
      <c r="AI56"/>
      <c r="AJ56"/>
      <c r="AK56"/>
      <c r="AL56"/>
      <c r="AM56"/>
      <c r="AN56"/>
    </row>
    <row r="57" spans="1:40" x14ac:dyDescent="0.25">
      <c r="C57" s="498" t="s">
        <v>655</v>
      </c>
      <c r="K57" s="496"/>
      <c r="L57" s="485"/>
      <c r="M57"/>
      <c r="N57"/>
      <c r="O57"/>
      <c r="P57"/>
      <c r="Q57"/>
      <c r="R57"/>
      <c r="S57"/>
      <c r="T57"/>
      <c r="U57"/>
      <c r="V57"/>
      <c r="W57"/>
      <c r="X57"/>
      <c r="Y57"/>
      <c r="Z57"/>
      <c r="AA57"/>
      <c r="AB57"/>
      <c r="AC57"/>
      <c r="AD57"/>
      <c r="AE57"/>
      <c r="AF57"/>
      <c r="AG57"/>
      <c r="AH57"/>
      <c r="AI57"/>
      <c r="AJ57"/>
      <c r="AK57"/>
      <c r="AL57"/>
      <c r="AM57"/>
      <c r="AN57"/>
    </row>
    <row r="58" spans="1:40" x14ac:dyDescent="0.25">
      <c r="C58" s="500" t="s">
        <v>656</v>
      </c>
      <c r="K58" s="496"/>
      <c r="L58" s="485"/>
      <c r="M58"/>
      <c r="N58"/>
      <c r="O58"/>
      <c r="P58"/>
      <c r="Q58"/>
      <c r="R58"/>
      <c r="S58"/>
      <c r="T58"/>
      <c r="U58"/>
      <c r="V58"/>
      <c r="W58"/>
      <c r="X58"/>
      <c r="Y58"/>
      <c r="Z58"/>
      <c r="AA58"/>
      <c r="AB58"/>
      <c r="AC58"/>
      <c r="AD58"/>
      <c r="AE58"/>
      <c r="AF58"/>
      <c r="AG58"/>
      <c r="AH58"/>
      <c r="AI58"/>
      <c r="AJ58"/>
      <c r="AK58"/>
      <c r="AL58"/>
      <c r="AM58"/>
      <c r="AN58"/>
    </row>
    <row r="59" spans="1:40" x14ac:dyDescent="0.25">
      <c r="C59" s="498" t="s">
        <v>657</v>
      </c>
      <c r="K59" s="496"/>
      <c r="L59" s="485"/>
      <c r="M59"/>
      <c r="N59"/>
      <c r="O59"/>
      <c r="P59"/>
      <c r="Q59"/>
      <c r="R59"/>
      <c r="S59"/>
      <c r="T59"/>
      <c r="U59"/>
      <c r="V59"/>
      <c r="W59"/>
      <c r="X59"/>
      <c r="Y59"/>
      <c r="Z59"/>
      <c r="AA59"/>
      <c r="AB59"/>
      <c r="AC59"/>
      <c r="AD59"/>
      <c r="AE59"/>
      <c r="AF59"/>
      <c r="AG59"/>
      <c r="AH59"/>
      <c r="AI59"/>
      <c r="AJ59"/>
      <c r="AK59"/>
      <c r="AL59"/>
      <c r="AM59"/>
      <c r="AN59"/>
    </row>
    <row r="60" spans="1:40" x14ac:dyDescent="0.25">
      <c r="C60" s="499" t="s">
        <v>658</v>
      </c>
      <c r="K60" s="496"/>
      <c r="L60" s="485"/>
      <c r="M60"/>
      <c r="N60"/>
      <c r="O60"/>
      <c r="P60"/>
      <c r="Q60"/>
      <c r="R60"/>
      <c r="S60"/>
      <c r="T60"/>
      <c r="U60"/>
      <c r="V60"/>
      <c r="W60"/>
      <c r="X60"/>
      <c r="Y60"/>
      <c r="Z60"/>
      <c r="AA60"/>
      <c r="AB60"/>
      <c r="AC60"/>
      <c r="AD60"/>
      <c r="AE60"/>
      <c r="AF60"/>
      <c r="AG60"/>
      <c r="AH60"/>
      <c r="AI60"/>
      <c r="AJ60"/>
      <c r="AK60"/>
      <c r="AL60"/>
      <c r="AM60"/>
      <c r="AN60"/>
    </row>
    <row r="61" spans="1:40" x14ac:dyDescent="0.25">
      <c r="K61" s="496"/>
      <c r="L61" s="485"/>
      <c r="M61"/>
      <c r="N61"/>
      <c r="O61"/>
      <c r="P61"/>
      <c r="Q61"/>
      <c r="R61"/>
      <c r="S61"/>
      <c r="T61"/>
      <c r="U61"/>
      <c r="V61"/>
      <c r="W61"/>
      <c r="X61"/>
      <c r="Y61"/>
      <c r="Z61"/>
      <c r="AA61"/>
      <c r="AB61"/>
      <c r="AC61"/>
      <c r="AD61"/>
      <c r="AE61"/>
      <c r="AF61"/>
      <c r="AG61"/>
      <c r="AH61"/>
      <c r="AI61"/>
      <c r="AJ61"/>
      <c r="AK61"/>
      <c r="AL61"/>
      <c r="AM61"/>
      <c r="AN61"/>
    </row>
    <row r="62" spans="1:40" x14ac:dyDescent="0.25">
      <c r="A62" s="493" t="s">
        <v>133</v>
      </c>
      <c r="B62" s="494">
        <v>1.75</v>
      </c>
      <c r="C62" s="501" t="s">
        <v>659</v>
      </c>
      <c r="K62" s="496"/>
      <c r="L62" s="485"/>
      <c r="M62"/>
      <c r="N62"/>
      <c r="O62"/>
      <c r="P62"/>
      <c r="Q62"/>
      <c r="R62"/>
      <c r="S62"/>
      <c r="T62"/>
      <c r="U62"/>
      <c r="V62"/>
      <c r="W62"/>
      <c r="X62"/>
      <c r="Y62"/>
      <c r="Z62"/>
      <c r="AA62"/>
      <c r="AB62"/>
      <c r="AC62"/>
      <c r="AD62"/>
      <c r="AE62"/>
      <c r="AF62"/>
      <c r="AG62"/>
      <c r="AH62"/>
      <c r="AI62"/>
      <c r="AJ62"/>
      <c r="AK62"/>
      <c r="AL62"/>
      <c r="AM62"/>
      <c r="AN62"/>
    </row>
    <row r="63" spans="1:40" x14ac:dyDescent="0.25">
      <c r="C63" s="498" t="s">
        <v>660</v>
      </c>
      <c r="K63" s="496"/>
      <c r="L63" s="485"/>
      <c r="M63"/>
      <c r="N63"/>
      <c r="O63"/>
      <c r="P63"/>
      <c r="Q63"/>
      <c r="R63"/>
      <c r="S63"/>
      <c r="T63"/>
      <c r="U63"/>
      <c r="V63"/>
      <c r="W63"/>
      <c r="X63"/>
      <c r="Y63"/>
      <c r="Z63"/>
      <c r="AA63"/>
      <c r="AB63"/>
      <c r="AC63"/>
      <c r="AD63"/>
      <c r="AE63"/>
      <c r="AF63"/>
      <c r="AG63"/>
      <c r="AH63"/>
      <c r="AI63"/>
      <c r="AJ63"/>
      <c r="AK63"/>
      <c r="AL63"/>
      <c r="AM63"/>
      <c r="AN63"/>
    </row>
    <row r="64" spans="1:40" x14ac:dyDescent="0.25">
      <c r="C64" s="493" t="s">
        <v>661</v>
      </c>
      <c r="D64" s="493">
        <f>G5*(G10+G10*G11)</f>
        <v>43776</v>
      </c>
      <c r="K64" s="496"/>
      <c r="L64" s="485"/>
      <c r="M64"/>
      <c r="N64"/>
      <c r="O64"/>
      <c r="P64"/>
      <c r="Q64"/>
      <c r="R64"/>
      <c r="S64"/>
      <c r="T64"/>
      <c r="U64"/>
      <c r="V64"/>
      <c r="W64"/>
      <c r="X64"/>
      <c r="Y64"/>
      <c r="Z64"/>
      <c r="AA64"/>
      <c r="AB64"/>
      <c r="AC64"/>
      <c r="AD64"/>
      <c r="AE64"/>
      <c r="AF64"/>
      <c r="AG64"/>
      <c r="AH64"/>
      <c r="AI64"/>
      <c r="AJ64"/>
      <c r="AK64"/>
      <c r="AL64"/>
      <c r="AM64"/>
      <c r="AN64"/>
    </row>
    <row r="65" spans="3:40" x14ac:dyDescent="0.25">
      <c r="K65" s="496"/>
      <c r="L65" s="502"/>
      <c r="M65"/>
      <c r="N65"/>
      <c r="O65"/>
      <c r="P65"/>
      <c r="Q65"/>
      <c r="R65"/>
      <c r="S65"/>
      <c r="T65"/>
      <c r="U65"/>
      <c r="V65"/>
      <c r="W65"/>
      <c r="X65"/>
      <c r="Y65"/>
      <c r="Z65"/>
      <c r="AA65"/>
      <c r="AB65"/>
      <c r="AC65"/>
      <c r="AD65"/>
      <c r="AE65"/>
      <c r="AF65"/>
      <c r="AG65"/>
      <c r="AH65"/>
      <c r="AI65"/>
      <c r="AJ65"/>
      <c r="AK65"/>
      <c r="AL65"/>
      <c r="AM65"/>
      <c r="AN65"/>
    </row>
    <row r="66" spans="3:40" x14ac:dyDescent="0.25">
      <c r="C66" s="498" t="s">
        <v>662</v>
      </c>
      <c r="K66" s="496"/>
      <c r="L66" s="496"/>
      <c r="M66"/>
      <c r="N66"/>
      <c r="O66"/>
      <c r="P66"/>
      <c r="Q66"/>
      <c r="R66"/>
      <c r="S66"/>
      <c r="T66"/>
      <c r="U66"/>
      <c r="V66"/>
      <c r="W66"/>
      <c r="X66"/>
      <c r="Y66"/>
      <c r="Z66"/>
      <c r="AA66"/>
      <c r="AB66"/>
      <c r="AC66"/>
      <c r="AD66"/>
      <c r="AE66"/>
      <c r="AF66"/>
      <c r="AG66"/>
      <c r="AH66"/>
      <c r="AI66"/>
      <c r="AJ66"/>
      <c r="AK66"/>
      <c r="AL66"/>
      <c r="AM66"/>
      <c r="AN66"/>
    </row>
    <row r="67" spans="3:40" ht="30" x14ac:dyDescent="0.25">
      <c r="C67" s="503" t="s">
        <v>663</v>
      </c>
      <c r="D67" s="504" t="s">
        <v>664</v>
      </c>
      <c r="E67" s="504" t="s">
        <v>665</v>
      </c>
      <c r="F67" s="503" t="s">
        <v>666</v>
      </c>
      <c r="K67" s="496"/>
      <c r="L67" s="496"/>
      <c r="M67"/>
      <c r="N67"/>
      <c r="O67"/>
      <c r="P67"/>
      <c r="Q67"/>
      <c r="R67"/>
      <c r="S67"/>
      <c r="T67"/>
      <c r="U67"/>
      <c r="V67"/>
      <c r="W67"/>
      <c r="X67"/>
      <c r="Y67"/>
      <c r="Z67"/>
      <c r="AA67"/>
      <c r="AB67"/>
      <c r="AC67"/>
      <c r="AD67"/>
      <c r="AE67"/>
      <c r="AF67"/>
      <c r="AG67"/>
      <c r="AH67"/>
      <c r="AI67"/>
      <c r="AJ67"/>
      <c r="AK67"/>
      <c r="AL67"/>
      <c r="AM67"/>
      <c r="AN67"/>
    </row>
    <row r="68" spans="3:40" x14ac:dyDescent="0.25">
      <c r="C68" s="493">
        <f>C19</f>
        <v>0.5</v>
      </c>
      <c r="D68" s="493">
        <v>0.33</v>
      </c>
      <c r="E68" s="505">
        <f>D64*D19</f>
        <v>32832</v>
      </c>
      <c r="F68" s="505">
        <f>E68/(1+C54)^(C68-(0.5-D68))</f>
        <v>32573.924440684503</v>
      </c>
      <c r="K68" s="496"/>
      <c r="L68" s="496"/>
      <c r="M68"/>
      <c r="N68"/>
      <c r="O68"/>
      <c r="P68"/>
      <c r="Q68"/>
      <c r="R68"/>
      <c r="S68"/>
      <c r="T68"/>
      <c r="U68"/>
      <c r="V68"/>
      <c r="W68"/>
      <c r="X68"/>
      <c r="Y68"/>
      <c r="Z68"/>
      <c r="AA68"/>
      <c r="AB68"/>
      <c r="AC68"/>
      <c r="AD68"/>
      <c r="AE68"/>
      <c r="AF68"/>
      <c r="AG68"/>
      <c r="AH68"/>
      <c r="AI68"/>
      <c r="AJ68"/>
      <c r="AK68"/>
      <c r="AL68"/>
      <c r="AM68"/>
      <c r="AN68"/>
    </row>
    <row r="69" spans="3:40" x14ac:dyDescent="0.25">
      <c r="C69" s="493">
        <f>C20</f>
        <v>1.5</v>
      </c>
      <c r="D69" s="493">
        <v>0.33</v>
      </c>
      <c r="E69" s="505">
        <f>D64*D20</f>
        <v>6566.4</v>
      </c>
      <c r="F69" s="505">
        <f>E69/(1+E20)^(C69-(0.5-D69))</f>
        <v>6355.0789305760218</v>
      </c>
      <c r="K69" s="496"/>
      <c r="L69" s="496"/>
      <c r="M69"/>
      <c r="N69"/>
      <c r="O69"/>
      <c r="P69"/>
      <c r="Q69"/>
      <c r="R69"/>
      <c r="S69"/>
      <c r="T69"/>
      <c r="U69"/>
      <c r="V69"/>
      <c r="W69"/>
      <c r="X69"/>
      <c r="Y69"/>
      <c r="Z69"/>
      <c r="AA69"/>
      <c r="AB69"/>
      <c r="AC69"/>
      <c r="AD69"/>
      <c r="AE69"/>
      <c r="AF69"/>
      <c r="AG69"/>
      <c r="AH69"/>
      <c r="AI69"/>
      <c r="AJ69"/>
      <c r="AK69"/>
      <c r="AL69"/>
      <c r="AM69"/>
      <c r="AN69"/>
    </row>
    <row r="70" spans="3:40" x14ac:dyDescent="0.25">
      <c r="C70" s="493">
        <f>C21</f>
        <v>2.5</v>
      </c>
      <c r="D70" s="493">
        <v>0.33</v>
      </c>
      <c r="E70" s="505">
        <f>D64*D21</f>
        <v>4377.6000000000004</v>
      </c>
      <c r="F70" s="505">
        <f>E70/(1+E21)^(C70-(0.5-D70))</f>
        <v>4122.5326469487409</v>
      </c>
      <c r="K70" s="496"/>
      <c r="L70" s="496"/>
      <c r="M70"/>
      <c r="N70"/>
      <c r="O70"/>
      <c r="P70"/>
      <c r="Q70"/>
      <c r="R70"/>
      <c r="S70"/>
      <c r="T70"/>
      <c r="U70"/>
      <c r="V70"/>
      <c r="W70"/>
      <c r="X70"/>
      <c r="Y70"/>
      <c r="Z70"/>
      <c r="AA70"/>
      <c r="AB70"/>
      <c r="AC70"/>
      <c r="AD70"/>
      <c r="AE70"/>
      <c r="AF70"/>
      <c r="AG70"/>
      <c r="AH70"/>
      <c r="AI70"/>
      <c r="AJ70"/>
      <c r="AK70"/>
      <c r="AL70"/>
      <c r="AM70"/>
      <c r="AN70"/>
    </row>
    <row r="71" spans="3:40" x14ac:dyDescent="0.25">
      <c r="K71" s="496"/>
      <c r="L71" s="496"/>
      <c r="M71"/>
      <c r="N71"/>
      <c r="O71"/>
      <c r="P71"/>
      <c r="Q71"/>
      <c r="R71"/>
      <c r="S71"/>
      <c r="T71"/>
      <c r="U71"/>
      <c r="V71"/>
      <c r="W71"/>
      <c r="X71"/>
      <c r="Y71"/>
      <c r="Z71"/>
      <c r="AA71"/>
      <c r="AB71"/>
      <c r="AC71"/>
      <c r="AD71"/>
      <c r="AE71"/>
      <c r="AF71"/>
      <c r="AG71"/>
      <c r="AH71"/>
      <c r="AI71"/>
      <c r="AJ71"/>
      <c r="AK71"/>
      <c r="AL71"/>
      <c r="AM71"/>
      <c r="AN71"/>
    </row>
    <row r="72" spans="3:40" x14ac:dyDescent="0.25">
      <c r="C72" s="493" t="s">
        <v>667</v>
      </c>
      <c r="D72" s="505">
        <f>SUM(F68:F70)</f>
        <v>43051.536018209263</v>
      </c>
      <c r="K72" s="496"/>
      <c r="L72" s="496"/>
      <c r="M72"/>
      <c r="N72"/>
      <c r="O72"/>
      <c r="P72"/>
      <c r="Q72"/>
      <c r="R72"/>
      <c r="S72"/>
      <c r="T72"/>
      <c r="U72"/>
      <c r="V72"/>
      <c r="W72"/>
      <c r="X72"/>
      <c r="Y72"/>
      <c r="Z72"/>
      <c r="AA72"/>
      <c r="AB72"/>
      <c r="AC72"/>
      <c r="AD72"/>
      <c r="AE72"/>
      <c r="AF72"/>
      <c r="AG72"/>
      <c r="AH72"/>
      <c r="AI72"/>
      <c r="AJ72"/>
      <c r="AK72"/>
      <c r="AL72"/>
      <c r="AM72"/>
      <c r="AN72"/>
    </row>
    <row r="73" spans="3:40" x14ac:dyDescent="0.25">
      <c r="K73" s="496"/>
      <c r="L73" s="496"/>
      <c r="M73"/>
      <c r="N73"/>
      <c r="O73"/>
      <c r="P73"/>
      <c r="Q73"/>
      <c r="R73"/>
      <c r="S73"/>
      <c r="T73"/>
      <c r="U73"/>
      <c r="V73"/>
      <c r="W73"/>
      <c r="X73"/>
      <c r="Y73"/>
      <c r="Z73"/>
      <c r="AA73"/>
      <c r="AB73"/>
      <c r="AC73"/>
      <c r="AD73"/>
      <c r="AE73"/>
      <c r="AF73"/>
      <c r="AG73"/>
      <c r="AH73"/>
      <c r="AI73"/>
      <c r="AJ73"/>
      <c r="AK73"/>
      <c r="AL73"/>
      <c r="AM73"/>
      <c r="AN73"/>
    </row>
    <row r="74" spans="3:40" x14ac:dyDescent="0.25">
      <c r="C74" s="498" t="s">
        <v>668</v>
      </c>
      <c r="K74" s="496"/>
      <c r="L74" s="496"/>
      <c r="M74"/>
      <c r="N74"/>
      <c r="O74"/>
      <c r="P74"/>
      <c r="Q74"/>
      <c r="R74"/>
      <c r="S74"/>
      <c r="T74"/>
      <c r="U74"/>
      <c r="V74"/>
      <c r="W74"/>
      <c r="X74"/>
      <c r="Y74"/>
      <c r="Z74"/>
      <c r="AA74"/>
      <c r="AB74"/>
      <c r="AC74"/>
      <c r="AD74"/>
      <c r="AE74"/>
      <c r="AF74"/>
      <c r="AG74"/>
      <c r="AH74"/>
      <c r="AI74"/>
      <c r="AJ74"/>
      <c r="AK74"/>
      <c r="AL74"/>
      <c r="AM74"/>
      <c r="AN74"/>
    </row>
    <row r="75" spans="3:40" x14ac:dyDescent="0.25">
      <c r="C75" s="505">
        <f>D72*G9</f>
        <v>4305.1536018209263</v>
      </c>
      <c r="K75" s="496"/>
      <c r="L75" s="496"/>
      <c r="M75"/>
      <c r="N75"/>
      <c r="O75"/>
      <c r="P75"/>
      <c r="Q75"/>
      <c r="R75"/>
      <c r="S75"/>
      <c r="T75"/>
      <c r="U75"/>
      <c r="V75"/>
      <c r="W75"/>
      <c r="X75"/>
      <c r="Y75"/>
      <c r="Z75"/>
      <c r="AA75"/>
      <c r="AB75"/>
      <c r="AC75"/>
      <c r="AD75"/>
      <c r="AE75"/>
      <c r="AF75"/>
      <c r="AG75"/>
      <c r="AH75"/>
      <c r="AI75"/>
      <c r="AJ75"/>
      <c r="AK75"/>
      <c r="AL75"/>
      <c r="AM75"/>
      <c r="AN75"/>
    </row>
    <row r="76" spans="3:40" x14ac:dyDescent="0.25">
      <c r="K76" s="496"/>
      <c r="L76" s="496"/>
      <c r="M76"/>
      <c r="N76"/>
      <c r="O76"/>
      <c r="P76"/>
      <c r="Q76"/>
      <c r="R76"/>
      <c r="S76"/>
      <c r="T76"/>
      <c r="U76"/>
      <c r="V76"/>
      <c r="W76"/>
      <c r="X76"/>
      <c r="Y76"/>
      <c r="Z76"/>
      <c r="AA76"/>
      <c r="AB76"/>
      <c r="AC76"/>
      <c r="AD76"/>
      <c r="AE76"/>
      <c r="AF76"/>
      <c r="AG76"/>
      <c r="AH76"/>
      <c r="AI76"/>
      <c r="AJ76"/>
      <c r="AK76"/>
      <c r="AL76"/>
      <c r="AM76"/>
      <c r="AN76"/>
    </row>
    <row r="77" spans="3:40" x14ac:dyDescent="0.25">
      <c r="C77" s="498" t="s">
        <v>669</v>
      </c>
      <c r="K77" s="496"/>
      <c r="L77" s="496"/>
      <c r="M77"/>
      <c r="N77"/>
      <c r="O77"/>
      <c r="P77"/>
      <c r="Q77"/>
      <c r="R77"/>
      <c r="S77"/>
      <c r="T77"/>
      <c r="U77"/>
      <c r="V77"/>
      <c r="W77"/>
      <c r="X77"/>
      <c r="Y77"/>
      <c r="Z77"/>
      <c r="AA77"/>
      <c r="AB77"/>
      <c r="AC77"/>
      <c r="AD77"/>
      <c r="AE77"/>
      <c r="AF77"/>
      <c r="AG77"/>
      <c r="AH77"/>
      <c r="AI77"/>
      <c r="AJ77"/>
      <c r="AK77"/>
      <c r="AL77"/>
      <c r="AM77"/>
      <c r="AN77"/>
    </row>
    <row r="78" spans="3:40" x14ac:dyDescent="0.25">
      <c r="C78" s="506">
        <f>C75+D72-G6+G7+G8</f>
        <v>8196.6896200301853</v>
      </c>
      <c r="K78" s="496"/>
      <c r="L78" s="496"/>
      <c r="M78"/>
      <c r="N78"/>
      <c r="O78"/>
      <c r="P78"/>
      <c r="Q78"/>
      <c r="R78"/>
      <c r="S78"/>
      <c r="T78"/>
      <c r="U78"/>
      <c r="V78"/>
      <c r="W78"/>
      <c r="X78"/>
      <c r="Y78"/>
      <c r="Z78"/>
      <c r="AA78"/>
      <c r="AB78"/>
      <c r="AC78"/>
      <c r="AD78"/>
      <c r="AE78"/>
      <c r="AF78"/>
      <c r="AG78"/>
      <c r="AH78"/>
      <c r="AI78"/>
      <c r="AJ78"/>
      <c r="AK78"/>
      <c r="AL78"/>
      <c r="AM78"/>
      <c r="AN78"/>
    </row>
    <row r="79" spans="3:40" x14ac:dyDescent="0.25">
      <c r="K79" s="496"/>
      <c r="L79" s="496"/>
      <c r="M79"/>
      <c r="N79"/>
      <c r="O79"/>
      <c r="P79"/>
      <c r="Q79"/>
      <c r="R79"/>
      <c r="S79"/>
      <c r="T79"/>
      <c r="U79"/>
      <c r="V79"/>
      <c r="W79"/>
      <c r="X79"/>
      <c r="Y79"/>
      <c r="Z79"/>
      <c r="AA79"/>
      <c r="AB79"/>
      <c r="AC79"/>
      <c r="AD79"/>
      <c r="AE79"/>
      <c r="AF79"/>
      <c r="AG79"/>
      <c r="AH79"/>
      <c r="AI79"/>
      <c r="AJ79"/>
      <c r="AK79"/>
      <c r="AL79"/>
      <c r="AM79"/>
      <c r="AN79"/>
    </row>
    <row r="80" spans="3:40" x14ac:dyDescent="0.25">
      <c r="C80" s="498" t="s">
        <v>670</v>
      </c>
      <c r="K80" s="496"/>
      <c r="L80" s="496"/>
      <c r="M80"/>
      <c r="N80"/>
      <c r="O80"/>
      <c r="P80"/>
      <c r="Q80"/>
      <c r="R80"/>
      <c r="S80"/>
      <c r="T80"/>
      <c r="U80"/>
      <c r="V80"/>
      <c r="W80"/>
      <c r="X80"/>
      <c r="Y80"/>
      <c r="Z80"/>
      <c r="AA80"/>
      <c r="AB80"/>
      <c r="AC80"/>
      <c r="AD80"/>
      <c r="AE80"/>
      <c r="AF80"/>
      <c r="AG80"/>
      <c r="AH80"/>
      <c r="AI80"/>
      <c r="AJ80"/>
      <c r="AK80"/>
      <c r="AL80"/>
      <c r="AM80"/>
      <c r="AN80"/>
    </row>
    <row r="81" spans="1:40" x14ac:dyDescent="0.25">
      <c r="C81" s="506">
        <f>C78-G12</f>
        <v>10696.689620030185</v>
      </c>
      <c r="K81" s="496"/>
      <c r="L81" s="496"/>
      <c r="M81"/>
      <c r="N81"/>
      <c r="O81"/>
      <c r="P81"/>
      <c r="Q81"/>
      <c r="R81"/>
      <c r="S81"/>
      <c r="T81"/>
      <c r="U81"/>
      <c r="V81"/>
      <c r="W81"/>
      <c r="X81"/>
      <c r="Y81"/>
      <c r="Z81"/>
      <c r="AA81"/>
      <c r="AB81"/>
      <c r="AC81"/>
      <c r="AD81"/>
      <c r="AE81"/>
      <c r="AF81"/>
      <c r="AG81"/>
      <c r="AH81"/>
      <c r="AI81"/>
      <c r="AJ81"/>
      <c r="AK81"/>
      <c r="AL81"/>
      <c r="AM81"/>
      <c r="AN81"/>
    </row>
    <row r="82" spans="1:40" x14ac:dyDescent="0.25">
      <c r="K82" s="496"/>
      <c r="L82" s="496"/>
      <c r="M82"/>
      <c r="N82"/>
      <c r="O82"/>
      <c r="P82"/>
      <c r="Q82"/>
      <c r="R82"/>
      <c r="S82"/>
      <c r="T82"/>
      <c r="U82"/>
      <c r="V82"/>
      <c r="W82"/>
      <c r="X82"/>
      <c r="Y82"/>
      <c r="Z82"/>
      <c r="AA82"/>
      <c r="AB82"/>
      <c r="AC82"/>
      <c r="AD82"/>
      <c r="AE82"/>
      <c r="AF82"/>
      <c r="AG82"/>
      <c r="AH82"/>
      <c r="AI82"/>
      <c r="AJ82"/>
      <c r="AK82"/>
      <c r="AL82"/>
      <c r="AM82"/>
      <c r="AN82"/>
    </row>
    <row r="83" spans="1:40" x14ac:dyDescent="0.25">
      <c r="A83" s="493" t="s">
        <v>265</v>
      </c>
      <c r="B83" s="494">
        <v>0.75</v>
      </c>
      <c r="C83" s="501" t="s">
        <v>671</v>
      </c>
      <c r="K83" s="496"/>
      <c r="L83" s="496"/>
      <c r="M83"/>
      <c r="N83"/>
      <c r="O83"/>
      <c r="P83"/>
      <c r="Q83"/>
      <c r="R83"/>
      <c r="S83"/>
      <c r="T83"/>
      <c r="U83"/>
      <c r="V83"/>
      <c r="W83"/>
      <c r="X83"/>
      <c r="Y83"/>
      <c r="Z83"/>
      <c r="AA83"/>
      <c r="AB83"/>
      <c r="AC83"/>
      <c r="AD83"/>
      <c r="AE83"/>
      <c r="AF83"/>
      <c r="AG83"/>
      <c r="AH83"/>
      <c r="AI83"/>
      <c r="AJ83"/>
      <c r="AK83"/>
      <c r="AL83"/>
      <c r="AM83"/>
      <c r="AN83"/>
    </row>
    <row r="84" spans="1:40" x14ac:dyDescent="0.25">
      <c r="C84" s="498" t="s">
        <v>672</v>
      </c>
      <c r="K84" s="496"/>
      <c r="L84" s="496"/>
      <c r="M84"/>
      <c r="N84"/>
      <c r="O84"/>
      <c r="P84"/>
      <c r="Q84"/>
      <c r="R84"/>
      <c r="S84"/>
      <c r="T84"/>
      <c r="U84"/>
      <c r="V84"/>
      <c r="W84"/>
      <c r="X84"/>
      <c r="Y84"/>
      <c r="Z84"/>
      <c r="AA84"/>
      <c r="AB84"/>
      <c r="AC84"/>
      <c r="AD84"/>
      <c r="AE84"/>
      <c r="AF84"/>
      <c r="AG84"/>
      <c r="AH84"/>
      <c r="AI84"/>
      <c r="AJ84"/>
      <c r="AK84"/>
      <c r="AL84"/>
      <c r="AM84"/>
      <c r="AN84"/>
    </row>
    <row r="85" spans="1:40" x14ac:dyDescent="0.25">
      <c r="C85" s="498" t="s">
        <v>673</v>
      </c>
      <c r="K85" s="496"/>
      <c r="L85" s="496"/>
      <c r="M85"/>
      <c r="N85"/>
      <c r="O85"/>
      <c r="P85"/>
      <c r="Q85"/>
      <c r="R85"/>
      <c r="S85"/>
      <c r="T85"/>
      <c r="U85"/>
      <c r="V85"/>
      <c r="W85"/>
      <c r="X85"/>
      <c r="Y85"/>
      <c r="Z85"/>
      <c r="AA85"/>
      <c r="AB85"/>
      <c r="AC85"/>
      <c r="AD85"/>
      <c r="AE85"/>
      <c r="AF85"/>
      <c r="AG85"/>
      <c r="AH85"/>
      <c r="AI85"/>
      <c r="AJ85"/>
      <c r="AK85"/>
      <c r="AL85"/>
      <c r="AM85"/>
      <c r="AN85"/>
    </row>
    <row r="86" spans="1:40" x14ac:dyDescent="0.25">
      <c r="C86" s="498" t="s">
        <v>674</v>
      </c>
      <c r="K86" s="496"/>
      <c r="L86" s="496"/>
      <c r="M86"/>
      <c r="N86"/>
      <c r="O86"/>
      <c r="P86"/>
      <c r="Q86"/>
      <c r="R86"/>
      <c r="S86"/>
      <c r="T86"/>
      <c r="U86"/>
      <c r="V86"/>
      <c r="W86"/>
      <c r="X86"/>
      <c r="Y86"/>
      <c r="Z86"/>
      <c r="AA86"/>
      <c r="AB86"/>
      <c r="AC86"/>
      <c r="AD86"/>
      <c r="AE86"/>
      <c r="AF86"/>
      <c r="AG86"/>
      <c r="AH86"/>
      <c r="AI86"/>
      <c r="AJ86"/>
      <c r="AK86"/>
      <c r="AL86"/>
      <c r="AM86"/>
      <c r="AN86"/>
    </row>
    <row r="87" spans="1:40" x14ac:dyDescent="0.25">
      <c r="C87" s="507" t="s">
        <v>675</v>
      </c>
      <c r="K87" s="496"/>
      <c r="L87" s="496"/>
      <c r="M87"/>
      <c r="N87"/>
      <c r="O87"/>
      <c r="P87"/>
      <c r="Q87"/>
      <c r="R87"/>
      <c r="S87"/>
      <c r="T87"/>
      <c r="U87"/>
      <c r="V87"/>
      <c r="W87"/>
      <c r="X87"/>
      <c r="Y87"/>
      <c r="Z87"/>
      <c r="AA87"/>
      <c r="AB87"/>
      <c r="AC87"/>
      <c r="AD87"/>
      <c r="AE87"/>
      <c r="AF87"/>
      <c r="AG87"/>
      <c r="AH87"/>
      <c r="AI87"/>
      <c r="AJ87"/>
      <c r="AK87"/>
      <c r="AL87"/>
      <c r="AM87"/>
      <c r="AN87"/>
    </row>
    <row r="88" spans="1:40" x14ac:dyDescent="0.25">
      <c r="C88" s="493" t="s">
        <v>676</v>
      </c>
      <c r="K88" s="496"/>
      <c r="L88" s="496"/>
      <c r="M88"/>
      <c r="N88"/>
      <c r="O88"/>
      <c r="P88"/>
      <c r="Q88"/>
      <c r="R88"/>
      <c r="S88"/>
      <c r="T88"/>
      <c r="U88"/>
      <c r="V88"/>
      <c r="W88"/>
      <c r="X88"/>
      <c r="Y88"/>
      <c r="Z88"/>
      <c r="AA88"/>
      <c r="AB88"/>
      <c r="AC88"/>
      <c r="AD88"/>
      <c r="AE88"/>
      <c r="AF88"/>
      <c r="AG88"/>
      <c r="AH88"/>
      <c r="AI88"/>
      <c r="AJ88"/>
      <c r="AK88"/>
      <c r="AL88"/>
      <c r="AM88"/>
      <c r="AN88"/>
    </row>
    <row r="89" spans="1:40" x14ac:dyDescent="0.25">
      <c r="C89" s="493" t="s">
        <v>677</v>
      </c>
      <c r="K89" s="496"/>
      <c r="L89" s="496"/>
      <c r="M89"/>
      <c r="N89"/>
      <c r="O89"/>
      <c r="P89"/>
      <c r="Q89"/>
      <c r="R89"/>
      <c r="S89"/>
      <c r="T89"/>
      <c r="U89"/>
      <c r="V89"/>
      <c r="W89"/>
      <c r="X89"/>
      <c r="Y89"/>
      <c r="Z89"/>
      <c r="AA89"/>
      <c r="AB89"/>
      <c r="AC89"/>
      <c r="AD89"/>
      <c r="AE89"/>
      <c r="AF89"/>
      <c r="AG89"/>
      <c r="AH89"/>
      <c r="AI89"/>
      <c r="AJ89"/>
      <c r="AK89"/>
      <c r="AL89"/>
      <c r="AM89"/>
      <c r="AN89"/>
    </row>
    <row r="90" spans="1:40" x14ac:dyDescent="0.25">
      <c r="K90" s="496"/>
      <c r="L90" s="496"/>
      <c r="M90"/>
      <c r="N90"/>
      <c r="O90"/>
      <c r="P90"/>
      <c r="Q90"/>
      <c r="R90"/>
      <c r="S90"/>
      <c r="T90"/>
      <c r="U90"/>
      <c r="V90"/>
      <c r="W90"/>
      <c r="X90"/>
      <c r="Y90"/>
      <c r="Z90"/>
      <c r="AA90"/>
      <c r="AB90"/>
      <c r="AC90"/>
      <c r="AD90"/>
      <c r="AE90"/>
      <c r="AF90"/>
      <c r="AG90"/>
      <c r="AH90"/>
      <c r="AI90"/>
      <c r="AJ90"/>
      <c r="AK90"/>
      <c r="AL90"/>
      <c r="AM90"/>
      <c r="AN90"/>
    </row>
    <row r="91" spans="1:40" x14ac:dyDescent="0.25">
      <c r="A91" s="493" t="s">
        <v>282</v>
      </c>
      <c r="B91" s="494">
        <v>0.5</v>
      </c>
      <c r="C91" s="501" t="s">
        <v>678</v>
      </c>
      <c r="K91" s="496"/>
      <c r="L91" s="496"/>
      <c r="M91"/>
      <c r="N91"/>
      <c r="O91"/>
      <c r="P91"/>
      <c r="Q91"/>
      <c r="R91"/>
      <c r="S91"/>
      <c r="T91"/>
      <c r="U91"/>
      <c r="V91"/>
      <c r="W91"/>
      <c r="X91"/>
      <c r="Y91"/>
      <c r="Z91"/>
      <c r="AA91"/>
      <c r="AB91"/>
      <c r="AC91"/>
      <c r="AD91"/>
      <c r="AE91"/>
      <c r="AF91"/>
      <c r="AG91"/>
      <c r="AH91"/>
      <c r="AI91"/>
      <c r="AJ91"/>
      <c r="AK91"/>
      <c r="AL91"/>
      <c r="AM91"/>
      <c r="AN91"/>
    </row>
    <row r="92" spans="1:40" x14ac:dyDescent="0.25">
      <c r="C92" s="493" t="s">
        <v>679</v>
      </c>
      <c r="K92" s="496"/>
      <c r="L92" s="496"/>
      <c r="M92"/>
      <c r="N92"/>
      <c r="O92"/>
      <c r="P92"/>
      <c r="Q92"/>
      <c r="R92"/>
      <c r="S92"/>
      <c r="T92"/>
      <c r="U92"/>
      <c r="V92"/>
      <c r="W92"/>
      <c r="X92"/>
      <c r="Y92"/>
      <c r="Z92"/>
      <c r="AA92"/>
      <c r="AB92"/>
      <c r="AC92"/>
      <c r="AD92"/>
      <c r="AE92"/>
      <c r="AF92"/>
      <c r="AG92"/>
      <c r="AH92"/>
      <c r="AI92"/>
      <c r="AJ92"/>
      <c r="AK92"/>
      <c r="AL92"/>
      <c r="AM92"/>
      <c r="AN92"/>
    </row>
    <row r="93" spans="1:40" x14ac:dyDescent="0.25">
      <c r="C93" s="493" t="s">
        <v>680</v>
      </c>
      <c r="K93" s="496"/>
      <c r="L93" s="496"/>
      <c r="M93"/>
      <c r="N93"/>
      <c r="O93"/>
      <c r="P93"/>
      <c r="Q93"/>
      <c r="R93"/>
      <c r="S93"/>
      <c r="T93"/>
      <c r="U93"/>
      <c r="V93"/>
      <c r="W93"/>
      <c r="X93"/>
      <c r="Y93"/>
      <c r="Z93"/>
      <c r="AA93"/>
      <c r="AB93"/>
      <c r="AC93"/>
      <c r="AD93"/>
      <c r="AE93"/>
      <c r="AF93"/>
      <c r="AG93"/>
      <c r="AH93"/>
      <c r="AI93"/>
      <c r="AJ93"/>
      <c r="AK93"/>
      <c r="AL93"/>
      <c r="AM93"/>
      <c r="AN93"/>
    </row>
    <row r="94" spans="1:40" x14ac:dyDescent="0.25">
      <c r="C94" s="493" t="s">
        <v>681</v>
      </c>
      <c r="K94" s="496"/>
      <c r="L94" s="496"/>
      <c r="M94"/>
      <c r="N94"/>
      <c r="O94"/>
      <c r="P94"/>
      <c r="Q94"/>
      <c r="R94"/>
      <c r="S94"/>
      <c r="T94"/>
      <c r="U94"/>
      <c r="V94"/>
      <c r="W94"/>
      <c r="X94"/>
      <c r="Y94"/>
      <c r="Z94"/>
      <c r="AA94"/>
      <c r="AB94"/>
      <c r="AC94"/>
      <c r="AD94"/>
      <c r="AE94"/>
      <c r="AF94"/>
      <c r="AG94"/>
      <c r="AH94"/>
      <c r="AI94"/>
      <c r="AJ94"/>
      <c r="AK94"/>
      <c r="AL94"/>
      <c r="AM94"/>
      <c r="AN94"/>
    </row>
    <row r="95" spans="1:40" x14ac:dyDescent="0.25">
      <c r="C95" s="493" t="s">
        <v>682</v>
      </c>
      <c r="K95" s="496"/>
      <c r="L95" s="496"/>
      <c r="M95"/>
      <c r="N95"/>
      <c r="O95"/>
      <c r="P95"/>
      <c r="Q95"/>
      <c r="R95"/>
      <c r="S95"/>
      <c r="T95"/>
      <c r="U95"/>
      <c r="V95"/>
      <c r="W95"/>
      <c r="X95"/>
      <c r="Y95"/>
      <c r="Z95"/>
      <c r="AA95"/>
      <c r="AB95"/>
      <c r="AC95"/>
      <c r="AD95"/>
      <c r="AE95"/>
      <c r="AF95"/>
      <c r="AG95"/>
      <c r="AH95"/>
      <c r="AI95"/>
      <c r="AJ95"/>
      <c r="AK95"/>
      <c r="AL95"/>
      <c r="AM95"/>
      <c r="AN95"/>
    </row>
    <row r="96" spans="1:40" x14ac:dyDescent="0.25">
      <c r="C96" s="493" t="s">
        <v>683</v>
      </c>
      <c r="K96" s="496"/>
      <c r="L96" s="496"/>
      <c r="M96"/>
      <c r="N96"/>
      <c r="O96"/>
      <c r="P96"/>
      <c r="Q96"/>
      <c r="R96"/>
      <c r="S96"/>
      <c r="T96"/>
      <c r="U96"/>
      <c r="V96"/>
      <c r="W96"/>
      <c r="X96"/>
      <c r="Y96"/>
      <c r="Z96"/>
      <c r="AA96"/>
      <c r="AB96"/>
      <c r="AC96"/>
      <c r="AD96"/>
      <c r="AE96"/>
      <c r="AF96"/>
      <c r="AG96"/>
      <c r="AH96"/>
      <c r="AI96"/>
      <c r="AJ96"/>
      <c r="AK96"/>
      <c r="AL96"/>
      <c r="AM96"/>
      <c r="AN96"/>
    </row>
    <row r="97" spans="1:40" x14ac:dyDescent="0.25">
      <c r="C97" s="493" t="s">
        <v>684</v>
      </c>
      <c r="K97" s="496"/>
      <c r="L97" s="496"/>
      <c r="M97"/>
      <c r="N97"/>
      <c r="O97"/>
      <c r="P97"/>
      <c r="Q97"/>
      <c r="R97"/>
      <c r="S97"/>
      <c r="T97"/>
      <c r="U97"/>
      <c r="V97"/>
      <c r="W97"/>
      <c r="X97"/>
      <c r="Y97"/>
      <c r="Z97"/>
      <c r="AA97"/>
      <c r="AB97"/>
      <c r="AC97"/>
      <c r="AD97"/>
      <c r="AE97"/>
      <c r="AF97"/>
      <c r="AG97"/>
      <c r="AH97"/>
      <c r="AI97"/>
      <c r="AJ97"/>
      <c r="AK97"/>
      <c r="AL97"/>
      <c r="AM97"/>
      <c r="AN97"/>
    </row>
    <row r="98" spans="1:40" x14ac:dyDescent="0.25">
      <c r="C98" s="493" t="s">
        <v>685</v>
      </c>
      <c r="K98" s="496"/>
      <c r="L98" s="496"/>
      <c r="M98"/>
      <c r="N98"/>
      <c r="O98"/>
      <c r="P98"/>
      <c r="Q98"/>
      <c r="R98"/>
      <c r="S98"/>
      <c r="T98"/>
      <c r="U98"/>
      <c r="V98"/>
      <c r="W98"/>
      <c r="X98"/>
      <c r="Y98"/>
      <c r="Z98"/>
      <c r="AA98"/>
      <c r="AB98"/>
      <c r="AC98"/>
      <c r="AD98"/>
      <c r="AE98"/>
      <c r="AF98"/>
      <c r="AG98"/>
      <c r="AH98"/>
      <c r="AI98"/>
      <c r="AJ98"/>
      <c r="AK98"/>
      <c r="AL98"/>
      <c r="AM98"/>
      <c r="AN98"/>
    </row>
    <row r="99" spans="1:40" x14ac:dyDescent="0.25">
      <c r="C99" s="493" t="s">
        <v>686</v>
      </c>
      <c r="K99" s="496"/>
      <c r="L99" s="496"/>
      <c r="M99"/>
      <c r="N99"/>
      <c r="O99"/>
      <c r="P99"/>
      <c r="Q99"/>
      <c r="R99"/>
      <c r="S99"/>
      <c r="T99"/>
      <c r="U99"/>
      <c r="V99"/>
      <c r="W99"/>
      <c r="X99"/>
      <c r="Y99"/>
      <c r="Z99"/>
      <c r="AA99"/>
      <c r="AB99"/>
      <c r="AC99"/>
      <c r="AD99"/>
      <c r="AE99"/>
      <c r="AF99"/>
      <c r="AG99"/>
      <c r="AH99"/>
      <c r="AI99"/>
      <c r="AJ99"/>
      <c r="AK99"/>
      <c r="AL99"/>
      <c r="AM99"/>
      <c r="AN99"/>
    </row>
    <row r="100" spans="1:40" x14ac:dyDescent="0.25">
      <c r="K100" s="496"/>
      <c r="L100" s="496"/>
      <c r="M100"/>
      <c r="N100"/>
      <c r="O100"/>
      <c r="P100"/>
      <c r="Q100"/>
      <c r="R100"/>
      <c r="S100"/>
      <c r="T100"/>
      <c r="U100"/>
      <c r="V100"/>
      <c r="W100"/>
      <c r="X100"/>
      <c r="Y100"/>
      <c r="Z100"/>
      <c r="AA100"/>
      <c r="AB100"/>
      <c r="AC100"/>
      <c r="AD100"/>
      <c r="AE100"/>
      <c r="AF100"/>
      <c r="AG100"/>
      <c r="AH100"/>
      <c r="AI100"/>
      <c r="AJ100"/>
      <c r="AK100"/>
      <c r="AL100"/>
      <c r="AM100"/>
      <c r="AN100"/>
    </row>
    <row r="101" spans="1:40" x14ac:dyDescent="0.25">
      <c r="K101" s="496"/>
      <c r="L101" s="496"/>
      <c r="M101"/>
      <c r="N101"/>
      <c r="O101"/>
      <c r="P101"/>
      <c r="Q101"/>
      <c r="R101"/>
      <c r="S101"/>
      <c r="T101"/>
      <c r="U101"/>
      <c r="V101"/>
      <c r="W101"/>
      <c r="X101"/>
      <c r="Y101"/>
      <c r="Z101"/>
      <c r="AA101"/>
      <c r="AB101"/>
      <c r="AC101"/>
      <c r="AD101"/>
      <c r="AE101"/>
      <c r="AF101"/>
      <c r="AG101"/>
      <c r="AH101"/>
      <c r="AI101"/>
      <c r="AJ101"/>
      <c r="AK101"/>
      <c r="AL101"/>
      <c r="AM101"/>
      <c r="AN101"/>
    </row>
    <row r="102" spans="1:40" x14ac:dyDescent="0.25">
      <c r="K102" s="496"/>
      <c r="L102" s="496"/>
      <c r="M102"/>
      <c r="N102"/>
      <c r="O102"/>
      <c r="P102"/>
      <c r="Q102"/>
      <c r="R102"/>
      <c r="S102"/>
      <c r="T102"/>
      <c r="U102"/>
      <c r="V102"/>
      <c r="W102"/>
      <c r="X102"/>
      <c r="Y102"/>
      <c r="Z102"/>
      <c r="AA102"/>
      <c r="AB102"/>
      <c r="AC102"/>
      <c r="AD102"/>
      <c r="AE102"/>
      <c r="AF102"/>
      <c r="AG102"/>
      <c r="AH102"/>
      <c r="AI102"/>
      <c r="AJ102"/>
      <c r="AK102"/>
      <c r="AL102"/>
      <c r="AM102"/>
      <c r="AN102"/>
    </row>
    <row r="103" spans="1:40" x14ac:dyDescent="0.25">
      <c r="K103" s="496"/>
      <c r="L103" s="496"/>
      <c r="M103"/>
      <c r="N103"/>
      <c r="O103"/>
      <c r="P103"/>
      <c r="Q103"/>
      <c r="R103"/>
      <c r="S103"/>
      <c r="T103"/>
      <c r="U103"/>
      <c r="V103"/>
      <c r="W103"/>
      <c r="X103"/>
      <c r="Y103"/>
      <c r="Z103"/>
      <c r="AA103"/>
      <c r="AB103"/>
      <c r="AC103"/>
      <c r="AD103"/>
      <c r="AE103"/>
      <c r="AF103"/>
      <c r="AG103"/>
      <c r="AH103"/>
      <c r="AI103"/>
      <c r="AJ103"/>
      <c r="AK103"/>
      <c r="AL103"/>
      <c r="AM103"/>
      <c r="AN103"/>
    </row>
    <row r="104" spans="1:40" x14ac:dyDescent="0.25">
      <c r="K104" s="496"/>
      <c r="L104" s="496"/>
      <c r="M104"/>
      <c r="N104"/>
      <c r="O104"/>
      <c r="P104"/>
      <c r="Q104"/>
      <c r="R104"/>
      <c r="S104"/>
      <c r="T104"/>
      <c r="U104"/>
      <c r="V104"/>
      <c r="W104"/>
      <c r="X104"/>
      <c r="Y104"/>
      <c r="Z104"/>
      <c r="AA104"/>
      <c r="AB104"/>
      <c r="AC104"/>
      <c r="AD104"/>
      <c r="AE104"/>
      <c r="AF104"/>
      <c r="AG104"/>
      <c r="AH104"/>
      <c r="AI104"/>
      <c r="AJ104"/>
      <c r="AK104"/>
      <c r="AL104"/>
      <c r="AM104"/>
      <c r="AN104"/>
    </row>
    <row r="105" spans="1:40" x14ac:dyDescent="0.25">
      <c r="K105" s="496"/>
      <c r="L105" s="496"/>
      <c r="M105"/>
      <c r="N105"/>
      <c r="O105"/>
      <c r="P105"/>
      <c r="Q105"/>
      <c r="R105"/>
      <c r="S105"/>
      <c r="T105"/>
      <c r="U105"/>
      <c r="V105"/>
      <c r="W105"/>
      <c r="X105"/>
      <c r="Y105"/>
      <c r="Z105"/>
      <c r="AA105"/>
      <c r="AB105"/>
      <c r="AC105"/>
      <c r="AD105"/>
      <c r="AE105"/>
      <c r="AF105"/>
      <c r="AG105"/>
      <c r="AH105"/>
      <c r="AI105"/>
      <c r="AJ105"/>
      <c r="AK105"/>
      <c r="AL105"/>
      <c r="AM105"/>
      <c r="AN105"/>
    </row>
    <row r="106" spans="1:40" x14ac:dyDescent="0.25">
      <c r="K106" s="496"/>
      <c r="L106" s="496"/>
      <c r="M106"/>
      <c r="N106"/>
      <c r="O106"/>
      <c r="P106"/>
      <c r="Q106"/>
      <c r="R106"/>
      <c r="S106"/>
      <c r="T106"/>
      <c r="U106"/>
      <c r="V106"/>
      <c r="W106"/>
      <c r="X106"/>
      <c r="Y106"/>
      <c r="Z106"/>
      <c r="AA106"/>
      <c r="AB106"/>
      <c r="AC106"/>
      <c r="AD106"/>
      <c r="AE106"/>
      <c r="AF106"/>
      <c r="AG106"/>
      <c r="AH106"/>
      <c r="AI106"/>
      <c r="AJ106"/>
      <c r="AK106"/>
      <c r="AL106"/>
      <c r="AM106"/>
      <c r="AN106"/>
    </row>
    <row r="107" spans="1:40" x14ac:dyDescent="0.25">
      <c r="K107" s="496"/>
      <c r="L107" s="496"/>
      <c r="M107"/>
      <c r="N107"/>
      <c r="O107"/>
      <c r="P107"/>
      <c r="Q107"/>
      <c r="R107"/>
      <c r="S107"/>
      <c r="T107"/>
      <c r="U107"/>
      <c r="V107"/>
      <c r="W107"/>
      <c r="X107"/>
      <c r="Y107"/>
      <c r="Z107"/>
      <c r="AA107"/>
      <c r="AB107"/>
      <c r="AC107"/>
      <c r="AD107"/>
      <c r="AE107"/>
      <c r="AF107"/>
      <c r="AG107"/>
      <c r="AH107"/>
      <c r="AI107"/>
      <c r="AJ107"/>
      <c r="AK107"/>
      <c r="AL107"/>
      <c r="AM107"/>
      <c r="AN107"/>
    </row>
    <row r="108" spans="1:40" x14ac:dyDescent="0.25">
      <c r="K108" s="496"/>
      <c r="L108" s="496"/>
      <c r="M108"/>
      <c r="N108"/>
      <c r="O108"/>
      <c r="P108"/>
      <c r="Q108"/>
      <c r="R108"/>
      <c r="S108"/>
      <c r="T108"/>
      <c r="U108"/>
      <c r="V108"/>
      <c r="W108"/>
      <c r="X108"/>
      <c r="Y108"/>
      <c r="Z108"/>
      <c r="AA108"/>
      <c r="AB108"/>
      <c r="AC108"/>
      <c r="AD108"/>
      <c r="AE108"/>
      <c r="AF108"/>
      <c r="AG108"/>
      <c r="AH108"/>
      <c r="AI108"/>
      <c r="AJ108"/>
      <c r="AK108"/>
      <c r="AL108"/>
      <c r="AM108"/>
      <c r="AN108"/>
    </row>
    <row r="109" spans="1:40" x14ac:dyDescent="0.25">
      <c r="K109" s="496"/>
      <c r="L109" s="496"/>
      <c r="M109"/>
      <c r="N109"/>
      <c r="O109"/>
      <c r="P109"/>
      <c r="Q109"/>
      <c r="R109"/>
      <c r="S109"/>
      <c r="T109"/>
      <c r="U109"/>
      <c r="V109"/>
      <c r="W109"/>
      <c r="X109"/>
      <c r="Y109"/>
      <c r="Z109"/>
      <c r="AA109"/>
      <c r="AB109"/>
      <c r="AC109"/>
      <c r="AD109"/>
      <c r="AE109"/>
      <c r="AF109"/>
      <c r="AG109"/>
      <c r="AH109"/>
      <c r="AI109"/>
      <c r="AJ109"/>
      <c r="AK109"/>
      <c r="AL109"/>
      <c r="AM109"/>
      <c r="AN109"/>
    </row>
    <row r="110" spans="1:40" x14ac:dyDescent="0.25">
      <c r="K110" s="496"/>
      <c r="L110" s="496"/>
      <c r="M110"/>
      <c r="N110"/>
      <c r="O110"/>
      <c r="P110"/>
      <c r="Q110"/>
      <c r="R110"/>
      <c r="S110"/>
      <c r="T110"/>
      <c r="U110"/>
      <c r="V110"/>
      <c r="W110"/>
      <c r="X110"/>
      <c r="Y110"/>
      <c r="Z110"/>
      <c r="AA110"/>
      <c r="AB110"/>
      <c r="AC110"/>
      <c r="AD110"/>
      <c r="AE110"/>
      <c r="AF110"/>
      <c r="AG110"/>
      <c r="AH110"/>
      <c r="AI110"/>
      <c r="AJ110"/>
      <c r="AK110"/>
      <c r="AL110"/>
      <c r="AM110"/>
      <c r="AN110"/>
    </row>
    <row r="111" spans="1:40" x14ac:dyDescent="0.25">
      <c r="K111" s="496"/>
      <c r="L111" s="496"/>
      <c r="M111"/>
      <c r="N111"/>
      <c r="O111"/>
      <c r="P111"/>
      <c r="Q111"/>
      <c r="R111"/>
      <c r="S111"/>
      <c r="T111"/>
      <c r="U111"/>
      <c r="V111"/>
      <c r="W111"/>
      <c r="X111"/>
      <c r="Y111"/>
      <c r="Z111"/>
      <c r="AA111"/>
      <c r="AB111"/>
      <c r="AC111"/>
      <c r="AD111"/>
      <c r="AE111"/>
      <c r="AF111"/>
      <c r="AG111"/>
      <c r="AH111"/>
      <c r="AI111"/>
      <c r="AJ111"/>
      <c r="AK111"/>
      <c r="AL111"/>
      <c r="AM111"/>
      <c r="AN111"/>
    </row>
    <row r="112" spans="1:40"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row>
    <row r="113" spans="1:40"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sheetData>
  <mergeCells count="11">
    <mergeCell ref="C10:F10"/>
    <mergeCell ref="C11:F11"/>
    <mergeCell ref="C12:F12"/>
    <mergeCell ref="D25:H25"/>
    <mergeCell ref="D32:G32"/>
    <mergeCell ref="C9:F9"/>
    <mergeCell ref="C3:J3"/>
    <mergeCell ref="C5:F5"/>
    <mergeCell ref="C6:F6"/>
    <mergeCell ref="C7:F7"/>
    <mergeCell ref="C8:F8"/>
  </mergeCells>
  <conditionalFormatting sqref="B48">
    <cfRule type="expression" dxfId="63" priority="18">
      <formula>CELL("protect",B48)=1</formula>
    </cfRule>
  </conditionalFormatting>
  <conditionalFormatting sqref="B56">
    <cfRule type="expression" dxfId="62" priority="14">
      <formula>CELL("protect",B56)=1</formula>
    </cfRule>
  </conditionalFormatting>
  <conditionalFormatting sqref="B62">
    <cfRule type="expression" dxfId="61" priority="6">
      <formula>CELL("protect",B62)=1</formula>
    </cfRule>
  </conditionalFormatting>
  <conditionalFormatting sqref="B83">
    <cfRule type="expression" dxfId="60" priority="4">
      <formula>CELL("protect",B83)=1</formula>
    </cfRule>
  </conditionalFormatting>
  <conditionalFormatting sqref="B91">
    <cfRule type="expression" dxfId="59" priority="5">
      <formula>CELL("protect",B91)=1</formula>
    </cfRule>
  </conditionalFormatting>
  <conditionalFormatting sqref="C49">
    <cfRule type="expression" dxfId="58" priority="17">
      <formula>CELL("protect",C49)=1</formula>
    </cfRule>
  </conditionalFormatting>
  <conditionalFormatting sqref="C51">
    <cfRule type="expression" dxfId="57" priority="16">
      <formula>CELL("protect",C51)=1</formula>
    </cfRule>
  </conditionalFormatting>
  <conditionalFormatting sqref="C53">
    <cfRule type="expression" dxfId="56" priority="15">
      <formula>CELL("protect",C53)=1</formula>
    </cfRule>
  </conditionalFormatting>
  <conditionalFormatting sqref="C57">
    <cfRule type="expression" dxfId="55" priority="13">
      <formula>CELL("protect",C57)=1</formula>
    </cfRule>
  </conditionalFormatting>
  <conditionalFormatting sqref="C59">
    <cfRule type="expression" dxfId="54" priority="12">
      <formula>CELL("protect",C59)=1</formula>
    </cfRule>
  </conditionalFormatting>
  <conditionalFormatting sqref="C63">
    <cfRule type="expression" dxfId="53" priority="10">
      <formula>CELL("protect",C63)=1</formula>
    </cfRule>
  </conditionalFormatting>
  <conditionalFormatting sqref="C66">
    <cfRule type="expression" dxfId="52" priority="11">
      <formula>CELL("protect",C66)=1</formula>
    </cfRule>
  </conditionalFormatting>
  <conditionalFormatting sqref="C74">
    <cfRule type="expression" dxfId="51" priority="9">
      <formula>CELL("protect",C74)=1</formula>
    </cfRule>
  </conditionalFormatting>
  <conditionalFormatting sqref="C77">
    <cfRule type="expression" dxfId="50" priority="8">
      <formula>CELL("protect",C77)=1</formula>
    </cfRule>
  </conditionalFormatting>
  <conditionalFormatting sqref="C80">
    <cfRule type="expression" dxfId="49" priority="7">
      <formula>CELL("protect",C80)=1</formula>
    </cfRule>
  </conditionalFormatting>
  <conditionalFormatting sqref="C84:C86">
    <cfRule type="expression" dxfId="48" priority="1">
      <formula>CELL("protect",C84)=1</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12372-7D79-4420-8FE5-6D4D5597BA76}">
  <dimension ref="A1:P69"/>
  <sheetViews>
    <sheetView topLeftCell="A26" workbookViewId="0">
      <selection activeCell="L19" sqref="L19"/>
    </sheetView>
  </sheetViews>
  <sheetFormatPr defaultColWidth="11.42578125" defaultRowHeight="15" x14ac:dyDescent="0.25"/>
  <cols>
    <col min="1" max="1" width="4.42578125" style="509" customWidth="1"/>
    <col min="2" max="2" width="13.5703125" style="520" customWidth="1"/>
    <col min="3" max="8" width="14.7109375" style="509" customWidth="1"/>
    <col min="9" max="9" width="20.7109375" style="509" customWidth="1"/>
    <col min="10" max="10" width="10.7109375" style="509" customWidth="1"/>
    <col min="11" max="16384" width="11.42578125" style="496"/>
  </cols>
  <sheetData>
    <row r="1" spans="1:16" x14ac:dyDescent="0.25">
      <c r="A1" s="467"/>
      <c r="B1" s="468" t="s">
        <v>687</v>
      </c>
      <c r="C1" s="469"/>
      <c r="D1" s="469"/>
      <c r="E1" s="469"/>
      <c r="F1" s="469"/>
      <c r="G1" s="469"/>
      <c r="H1" s="469"/>
      <c r="I1" s="508"/>
    </row>
    <row r="2" spans="1:16" x14ac:dyDescent="0.25">
      <c r="A2" s="467"/>
      <c r="B2" s="468"/>
      <c r="C2" s="469"/>
      <c r="D2" s="469"/>
      <c r="E2" s="469"/>
      <c r="F2" s="469"/>
      <c r="G2" s="469"/>
      <c r="H2" s="469"/>
      <c r="I2" s="508"/>
    </row>
    <row r="3" spans="1:16" ht="45" customHeight="1" x14ac:dyDescent="0.25">
      <c r="A3" s="472"/>
      <c r="B3" s="473"/>
      <c r="C3" s="731" t="s">
        <v>688</v>
      </c>
      <c r="D3" s="731"/>
      <c r="E3" s="731"/>
      <c r="F3" s="731"/>
      <c r="G3" s="731"/>
      <c r="H3" s="731"/>
      <c r="I3" s="732"/>
      <c r="K3" s="510"/>
    </row>
    <row r="4" spans="1:16" x14ac:dyDescent="0.25">
      <c r="A4" s="474"/>
      <c r="B4" s="511"/>
      <c r="C4" s="512"/>
      <c r="D4" s="513"/>
      <c r="E4" s="513"/>
      <c r="F4" s="513"/>
      <c r="G4" s="514"/>
      <c r="H4" s="514"/>
      <c r="I4" s="508"/>
    </row>
    <row r="5" spans="1:16" x14ac:dyDescent="0.25">
      <c r="A5" s="474" t="s">
        <v>13</v>
      </c>
      <c r="B5" s="511" t="s">
        <v>0</v>
      </c>
      <c r="C5" s="515" t="s">
        <v>689</v>
      </c>
      <c r="D5" s="513"/>
      <c r="E5" s="513"/>
      <c r="F5" s="513"/>
      <c r="G5" s="516"/>
      <c r="H5" s="516"/>
      <c r="I5" s="508"/>
      <c r="K5" s="509"/>
      <c r="L5" s="509"/>
      <c r="M5" s="509"/>
      <c r="N5" s="509"/>
      <c r="O5" s="509"/>
      <c r="P5" s="509"/>
    </row>
    <row r="6" spans="1:16" x14ac:dyDescent="0.25">
      <c r="A6" s="474"/>
      <c r="B6" s="511"/>
      <c r="C6" s="515"/>
      <c r="D6" s="513"/>
      <c r="E6" s="513"/>
      <c r="F6" s="513"/>
      <c r="G6" s="516"/>
      <c r="H6" s="516"/>
      <c r="I6" s="508"/>
      <c r="K6" s="509"/>
      <c r="L6" s="509"/>
      <c r="M6" s="509"/>
      <c r="N6" s="509"/>
      <c r="O6" s="509"/>
      <c r="P6" s="509"/>
    </row>
    <row r="7" spans="1:16" ht="30" customHeight="1" x14ac:dyDescent="0.25">
      <c r="A7" s="474" t="s">
        <v>27</v>
      </c>
      <c r="B7" s="511" t="s">
        <v>73</v>
      </c>
      <c r="C7" s="731" t="s">
        <v>690</v>
      </c>
      <c r="D7" s="731"/>
      <c r="E7" s="731"/>
      <c r="F7" s="731"/>
      <c r="G7" s="731"/>
      <c r="H7" s="731"/>
      <c r="I7" s="732"/>
      <c r="K7" s="509"/>
      <c r="L7" s="509"/>
      <c r="M7" s="509"/>
      <c r="N7" s="509"/>
      <c r="O7" s="509"/>
      <c r="P7" s="509"/>
    </row>
    <row r="8" spans="1:16" x14ac:dyDescent="0.25">
      <c r="A8" s="474"/>
      <c r="B8" s="511"/>
      <c r="C8" s="515" t="s">
        <v>691</v>
      </c>
      <c r="D8" s="513"/>
      <c r="E8" s="513"/>
      <c r="F8" s="513"/>
      <c r="G8" s="516"/>
      <c r="H8" s="516"/>
      <c r="I8" s="508"/>
      <c r="K8" s="509"/>
      <c r="L8" s="509"/>
      <c r="M8" s="509"/>
      <c r="N8" s="509"/>
      <c r="O8" s="509"/>
      <c r="P8" s="509"/>
    </row>
    <row r="9" spans="1:16" x14ac:dyDescent="0.25">
      <c r="A9" s="474"/>
      <c r="B9" s="511"/>
      <c r="C9" s="515" t="s">
        <v>692</v>
      </c>
      <c r="D9" s="513"/>
      <c r="E9" s="513"/>
      <c r="F9" s="513"/>
      <c r="G9" s="516"/>
      <c r="H9" s="516"/>
      <c r="I9" s="508"/>
      <c r="K9" s="509"/>
      <c r="L9" s="509"/>
      <c r="M9" s="509"/>
      <c r="N9" s="509"/>
      <c r="O9" s="509"/>
      <c r="P9" s="509"/>
    </row>
    <row r="10" spans="1:16" x14ac:dyDescent="0.25">
      <c r="A10" s="474"/>
      <c r="B10" s="511"/>
      <c r="C10" s="515" t="s">
        <v>693</v>
      </c>
      <c r="D10" s="513"/>
      <c r="E10" s="513"/>
      <c r="F10" s="513"/>
      <c r="G10" s="516"/>
      <c r="H10" s="516"/>
      <c r="I10" s="508"/>
      <c r="K10" s="509"/>
      <c r="L10" s="509"/>
      <c r="M10" s="509"/>
      <c r="N10" s="509"/>
      <c r="O10" s="509"/>
      <c r="P10" s="509"/>
    </row>
    <row r="11" spans="1:16" x14ac:dyDescent="0.25">
      <c r="A11" s="474"/>
      <c r="B11" s="511"/>
      <c r="C11" s="515" t="s">
        <v>694</v>
      </c>
      <c r="D11" s="513"/>
      <c r="E11" s="513"/>
      <c r="F11" s="513"/>
      <c r="G11" s="516"/>
      <c r="H11" s="516"/>
      <c r="I11" s="508"/>
      <c r="K11" s="509"/>
      <c r="L11" s="509"/>
      <c r="M11" s="509"/>
      <c r="N11" s="509"/>
      <c r="O11" s="509"/>
      <c r="P11" s="509"/>
    </row>
    <row r="12" spans="1:16" x14ac:dyDescent="0.25">
      <c r="A12" s="474"/>
      <c r="B12" s="511"/>
      <c r="C12" s="515"/>
      <c r="D12" s="513"/>
      <c r="E12" s="513"/>
      <c r="F12" s="513"/>
      <c r="G12" s="516"/>
      <c r="H12" s="516"/>
      <c r="I12" s="508"/>
      <c r="K12" s="509"/>
      <c r="L12" s="509"/>
      <c r="M12" s="509"/>
      <c r="N12" s="509"/>
      <c r="O12" s="509"/>
      <c r="P12" s="509"/>
    </row>
    <row r="13" spans="1:16" ht="30.75" customHeight="1" x14ac:dyDescent="0.25">
      <c r="A13" s="474" t="s">
        <v>133</v>
      </c>
      <c r="B13" s="511" t="s">
        <v>87</v>
      </c>
      <c r="C13" s="733" t="s">
        <v>695</v>
      </c>
      <c r="D13" s="733"/>
      <c r="E13" s="733"/>
      <c r="F13" s="733"/>
      <c r="G13" s="733"/>
      <c r="H13" s="733"/>
      <c r="I13" s="734"/>
      <c r="K13" s="509"/>
      <c r="L13" s="509"/>
      <c r="M13" s="509"/>
      <c r="N13" s="509"/>
      <c r="O13" s="509"/>
      <c r="P13" s="509"/>
    </row>
    <row r="14" spans="1:16" ht="15.75" thickBot="1" x14ac:dyDescent="0.3">
      <c r="A14" s="474"/>
      <c r="B14" s="511"/>
      <c r="C14" s="515"/>
      <c r="D14" s="513"/>
      <c r="E14" s="513"/>
      <c r="F14" s="513"/>
      <c r="G14" s="516"/>
      <c r="H14" s="516"/>
      <c r="I14" s="508"/>
      <c r="K14" s="509"/>
      <c r="L14" s="509"/>
      <c r="M14" s="509"/>
      <c r="N14" s="509"/>
      <c r="O14" s="509"/>
      <c r="P14" s="509"/>
    </row>
    <row r="15" spans="1:16" ht="15.75" thickBot="1" x14ac:dyDescent="0.3">
      <c r="A15" s="489" t="s">
        <v>137</v>
      </c>
      <c r="B15" s="490"/>
      <c r="C15" s="491"/>
      <c r="D15" s="491"/>
      <c r="E15" s="491"/>
      <c r="F15" s="491"/>
      <c r="G15" s="517"/>
      <c r="H15" s="517"/>
      <c r="I15" s="518"/>
      <c r="K15" s="509"/>
      <c r="L15" s="509"/>
      <c r="M15" s="509"/>
      <c r="N15" s="509"/>
      <c r="O15" s="509"/>
      <c r="P15" s="509"/>
    </row>
    <row r="16" spans="1:16" x14ac:dyDescent="0.25">
      <c r="A16" s="519"/>
      <c r="C16" s="521"/>
      <c r="D16" s="521"/>
      <c r="E16" s="521"/>
      <c r="F16" s="521"/>
      <c r="G16" s="521"/>
      <c r="H16" s="521"/>
      <c r="K16" s="509"/>
      <c r="L16" s="509"/>
      <c r="M16" s="509"/>
      <c r="N16" s="509"/>
      <c r="O16" s="509"/>
      <c r="P16" s="509"/>
    </row>
    <row r="17" spans="1:16" x14ac:dyDescent="0.25">
      <c r="A17" s="509" t="s">
        <v>13</v>
      </c>
      <c r="B17" s="522">
        <v>0.75</v>
      </c>
      <c r="C17" s="523" t="s">
        <v>696</v>
      </c>
      <c r="K17" s="509"/>
      <c r="L17" s="509"/>
      <c r="M17" s="509"/>
      <c r="N17" s="509"/>
      <c r="O17" s="509"/>
      <c r="P17" s="509"/>
    </row>
    <row r="18" spans="1:16" x14ac:dyDescent="0.25">
      <c r="C18" s="524" t="s">
        <v>697</v>
      </c>
      <c r="K18" s="509"/>
      <c r="L18" s="509"/>
      <c r="M18" s="509"/>
      <c r="N18" s="509"/>
      <c r="O18" s="509"/>
      <c r="P18" s="509"/>
    </row>
    <row r="19" spans="1:16" x14ac:dyDescent="0.25">
      <c r="C19" s="509" t="s">
        <v>698</v>
      </c>
      <c r="K19" s="509"/>
      <c r="L19" s="509"/>
      <c r="M19" s="509"/>
      <c r="N19" s="509"/>
      <c r="O19" s="509"/>
      <c r="P19" s="509"/>
    </row>
    <row r="20" spans="1:16" x14ac:dyDescent="0.25">
      <c r="C20" s="509" t="s">
        <v>699</v>
      </c>
      <c r="K20" s="509"/>
      <c r="L20" s="509"/>
      <c r="M20" s="509"/>
      <c r="N20" s="509"/>
      <c r="O20" s="509"/>
      <c r="P20" s="509"/>
    </row>
    <row r="21" spans="1:16" x14ac:dyDescent="0.25">
      <c r="C21" s="509" t="s">
        <v>700</v>
      </c>
      <c r="K21" s="509"/>
      <c r="L21" s="509"/>
      <c r="M21" s="509"/>
      <c r="N21" s="509"/>
      <c r="O21" s="509"/>
      <c r="P21" s="509"/>
    </row>
    <row r="22" spans="1:16" x14ac:dyDescent="0.25">
      <c r="C22" s="509" t="s">
        <v>701</v>
      </c>
      <c r="K22" s="509"/>
      <c r="L22" s="509"/>
      <c r="M22" s="509"/>
      <c r="N22" s="509"/>
      <c r="O22" s="509"/>
      <c r="P22" s="509"/>
    </row>
    <row r="23" spans="1:16" x14ac:dyDescent="0.25">
      <c r="C23" s="509" t="s">
        <v>702</v>
      </c>
      <c r="K23" s="509"/>
      <c r="L23" s="509"/>
      <c r="M23" s="509"/>
      <c r="N23" s="509"/>
      <c r="O23" s="509"/>
      <c r="P23" s="509"/>
    </row>
    <row r="24" spans="1:16" x14ac:dyDescent="0.25">
      <c r="C24" s="509" t="s">
        <v>703</v>
      </c>
    </row>
    <row r="25" spans="1:16" ht="24.6" customHeight="1" x14ac:dyDescent="0.25">
      <c r="C25" s="735" t="s">
        <v>704</v>
      </c>
      <c r="D25" s="735"/>
      <c r="E25" s="735"/>
      <c r="F25" s="735"/>
      <c r="G25" s="735"/>
      <c r="H25" s="735"/>
      <c r="I25" s="735"/>
    </row>
    <row r="26" spans="1:16" ht="21" customHeight="1" x14ac:dyDescent="0.25">
      <c r="C26" s="735"/>
      <c r="D26" s="735"/>
      <c r="E26" s="735"/>
      <c r="F26" s="735"/>
      <c r="G26" s="735"/>
      <c r="H26" s="735"/>
      <c r="I26" s="735"/>
    </row>
    <row r="28" spans="1:16" customFormat="1" x14ac:dyDescent="0.25"/>
    <row r="29" spans="1:16" customFormat="1" x14ac:dyDescent="0.25"/>
    <row r="30" spans="1:16" x14ac:dyDescent="0.25">
      <c r="A30" s="509" t="s">
        <v>27</v>
      </c>
      <c r="B30" s="522">
        <v>2</v>
      </c>
      <c r="C30" s="523" t="s">
        <v>696</v>
      </c>
    </row>
    <row r="31" spans="1:16" x14ac:dyDescent="0.25">
      <c r="C31" s="524" t="s">
        <v>705</v>
      </c>
    </row>
    <row r="32" spans="1:16" x14ac:dyDescent="0.25">
      <c r="C32" s="509" t="s">
        <v>706</v>
      </c>
    </row>
    <row r="33" spans="1:12" x14ac:dyDescent="0.25">
      <c r="C33" s="509" t="s">
        <v>707</v>
      </c>
    </row>
    <row r="35" spans="1:12" x14ac:dyDescent="0.25">
      <c r="C35" s="509" t="s">
        <v>708</v>
      </c>
    </row>
    <row r="36" spans="1:12" x14ac:dyDescent="0.25">
      <c r="C36" s="509" t="s">
        <v>709</v>
      </c>
    </row>
    <row r="38" spans="1:12" x14ac:dyDescent="0.25">
      <c r="C38" s="509" t="s">
        <v>710</v>
      </c>
    </row>
    <row r="40" spans="1:12" x14ac:dyDescent="0.25">
      <c r="C40" s="509" t="s">
        <v>711</v>
      </c>
    </row>
    <row r="41" spans="1:12" x14ac:dyDescent="0.25">
      <c r="C41" s="509" t="s">
        <v>712</v>
      </c>
    </row>
    <row r="42" spans="1:12" x14ac:dyDescent="0.25">
      <c r="C42" s="509" t="s">
        <v>713</v>
      </c>
    </row>
    <row r="43" spans="1:12" x14ac:dyDescent="0.25">
      <c r="C43" s="509" t="s">
        <v>714</v>
      </c>
    </row>
    <row r="44" spans="1:12" customFormat="1" x14ac:dyDescent="0.25">
      <c r="C44" s="496"/>
      <c r="D44" s="496"/>
      <c r="E44" s="496"/>
      <c r="F44" s="496"/>
      <c r="G44" s="496"/>
      <c r="H44" s="496"/>
      <c r="I44" s="496"/>
      <c r="J44" s="496"/>
      <c r="K44" s="496"/>
      <c r="L44" s="496"/>
    </row>
    <row r="46" spans="1:12" x14ac:dyDescent="0.25">
      <c r="A46" s="509" t="s">
        <v>133</v>
      </c>
      <c r="B46" s="522">
        <v>1.25</v>
      </c>
      <c r="C46" s="523" t="s">
        <v>715</v>
      </c>
    </row>
    <row r="47" spans="1:12" x14ac:dyDescent="0.25">
      <c r="B47" s="522"/>
      <c r="C47" s="524" t="s">
        <v>716</v>
      </c>
    </row>
    <row r="48" spans="1:12" x14ac:dyDescent="0.25">
      <c r="B48" s="522"/>
      <c r="C48" s="509" t="s">
        <v>717</v>
      </c>
    </row>
    <row r="49" spans="2:3" x14ac:dyDescent="0.25">
      <c r="B49" s="522"/>
      <c r="C49" s="523"/>
    </row>
    <row r="50" spans="2:3" x14ac:dyDescent="0.25">
      <c r="C50" s="524" t="s">
        <v>718</v>
      </c>
    </row>
    <row r="51" spans="2:3" x14ac:dyDescent="0.25">
      <c r="C51" s="509" t="s">
        <v>719</v>
      </c>
    </row>
    <row r="52" spans="2:3" x14ac:dyDescent="0.25">
      <c r="C52" s="509" t="s">
        <v>720</v>
      </c>
    </row>
    <row r="54" spans="2:3" x14ac:dyDescent="0.25">
      <c r="C54" s="509" t="s">
        <v>721</v>
      </c>
    </row>
    <row r="55" spans="2:3" x14ac:dyDescent="0.25">
      <c r="C55" s="509" t="s">
        <v>722</v>
      </c>
    </row>
    <row r="57" spans="2:3" x14ac:dyDescent="0.25">
      <c r="C57" s="509" t="s">
        <v>723</v>
      </c>
    </row>
    <row r="58" spans="2:3" x14ac:dyDescent="0.25">
      <c r="C58" s="509" t="s">
        <v>724</v>
      </c>
    </row>
    <row r="59" spans="2:3" x14ac:dyDescent="0.25">
      <c r="C59" s="509" t="s">
        <v>725</v>
      </c>
    </row>
    <row r="61" spans="2:3" x14ac:dyDescent="0.25">
      <c r="C61" s="509" t="s">
        <v>726</v>
      </c>
    </row>
    <row r="62" spans="2:3" x14ac:dyDescent="0.25">
      <c r="C62" s="509" t="s">
        <v>727</v>
      </c>
    </row>
    <row r="64" spans="2:3" x14ac:dyDescent="0.25">
      <c r="C64" s="509" t="s">
        <v>728</v>
      </c>
    </row>
    <row r="66" spans="3:4" customFormat="1" x14ac:dyDescent="0.25">
      <c r="C66" t="s">
        <v>729</v>
      </c>
      <c r="D66" t="s">
        <v>730</v>
      </c>
    </row>
    <row r="67" spans="3:4" customFormat="1" x14ac:dyDescent="0.25">
      <c r="D67" t="s">
        <v>731</v>
      </c>
    </row>
    <row r="68" spans="3:4" customFormat="1" x14ac:dyDescent="0.25"/>
    <row r="69" spans="3:4" x14ac:dyDescent="0.25">
      <c r="C69" s="509" t="s">
        <v>732</v>
      </c>
    </row>
  </sheetData>
  <mergeCells count="4">
    <mergeCell ref="C3:I3"/>
    <mergeCell ref="C7:I7"/>
    <mergeCell ref="C13:I13"/>
    <mergeCell ref="C25:I26"/>
  </mergeCells>
  <conditionalFormatting sqref="B17">
    <cfRule type="expression" dxfId="47" priority="7">
      <formula>CELL("protect",B17)=1</formula>
    </cfRule>
  </conditionalFormatting>
  <conditionalFormatting sqref="B30">
    <cfRule type="expression" dxfId="46" priority="2">
      <formula>CELL("protect",B30)=1</formula>
    </cfRule>
  </conditionalFormatting>
  <conditionalFormatting sqref="B46:B49">
    <cfRule type="expression" dxfId="45" priority="5">
      <formula>CELL("protect",B46)=1</formula>
    </cfRule>
  </conditionalFormatting>
  <conditionalFormatting sqref="C18">
    <cfRule type="expression" dxfId="44" priority="6">
      <formula>CELL("protect",C18)=1</formula>
    </cfRule>
  </conditionalFormatting>
  <conditionalFormatting sqref="C31">
    <cfRule type="expression" dxfId="43" priority="1">
      <formula>CELL("protect",C31)=1</formula>
    </cfRule>
  </conditionalFormatting>
  <conditionalFormatting sqref="C47">
    <cfRule type="expression" dxfId="42" priority="3">
      <formula>CELL("protect",C47)=1</formula>
    </cfRule>
  </conditionalFormatting>
  <conditionalFormatting sqref="C50">
    <cfRule type="expression" dxfId="41" priority="4">
      <formula>CELL("protect",C50)=1</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F0FC-7629-42E0-BA38-DB12D9937FCF}">
  <dimension ref="A1:AP153"/>
  <sheetViews>
    <sheetView topLeftCell="A24" workbookViewId="0">
      <selection activeCell="E29" sqref="E29"/>
    </sheetView>
  </sheetViews>
  <sheetFormatPr defaultColWidth="0" defaultRowHeight="15" zeroHeight="1" x14ac:dyDescent="0.25"/>
  <cols>
    <col min="1" max="1" width="2.85546875" style="509" customWidth="1"/>
    <col min="2" max="2" width="11.28515625" style="520" customWidth="1"/>
    <col min="3" max="3" width="29.28515625" style="509" customWidth="1"/>
    <col min="4" max="4" width="15.28515625" style="509" customWidth="1"/>
    <col min="5" max="5" width="13.42578125" style="509" customWidth="1"/>
    <col min="6" max="6" width="13.28515625" style="509" customWidth="1"/>
    <col min="7" max="7" width="12.28515625" style="509" customWidth="1"/>
    <col min="8" max="9" width="13.140625" style="509" customWidth="1"/>
    <col min="10" max="10" width="10.7109375" style="509" customWidth="1"/>
    <col min="11" max="11" width="7.140625" style="509" customWidth="1"/>
    <col min="12" max="14" width="10.7109375" style="471" customWidth="1"/>
    <col min="15" max="15" width="7.5703125" style="471" customWidth="1"/>
    <col min="16" max="40" width="10.7109375" style="471" customWidth="1"/>
    <col min="41" max="41" width="10.7109375" style="471" hidden="1" customWidth="1"/>
    <col min="42" max="16384" width="11.42578125" style="471" hidden="1"/>
  </cols>
  <sheetData>
    <row r="1" spans="1:42" x14ac:dyDescent="0.25">
      <c r="A1" s="467"/>
      <c r="B1" s="468" t="s">
        <v>202</v>
      </c>
      <c r="C1" s="469"/>
      <c r="D1" s="469"/>
      <c r="E1" s="469"/>
      <c r="F1" s="469"/>
      <c r="G1" s="469"/>
      <c r="H1" s="469"/>
      <c r="I1" s="469"/>
      <c r="J1" s="508"/>
      <c r="K1"/>
      <c r="L1"/>
      <c r="M1"/>
      <c r="N1"/>
      <c r="O1"/>
      <c r="P1"/>
      <c r="Q1"/>
      <c r="R1"/>
      <c r="S1"/>
      <c r="T1"/>
      <c r="U1"/>
      <c r="V1"/>
      <c r="W1"/>
      <c r="X1"/>
      <c r="Y1"/>
      <c r="Z1"/>
      <c r="AA1"/>
      <c r="AB1"/>
      <c r="AC1"/>
      <c r="AD1"/>
      <c r="AE1"/>
      <c r="AF1"/>
      <c r="AG1"/>
      <c r="AH1"/>
      <c r="AI1"/>
      <c r="AJ1"/>
      <c r="AK1"/>
      <c r="AL1"/>
      <c r="AM1"/>
      <c r="AN1"/>
      <c r="AO1"/>
      <c r="AP1" s="69"/>
    </row>
    <row r="2" spans="1:42" x14ac:dyDescent="0.25">
      <c r="A2" s="467"/>
      <c r="B2" s="468"/>
      <c r="C2" s="469"/>
      <c r="D2" s="469"/>
      <c r="E2" s="469"/>
      <c r="F2" s="469"/>
      <c r="G2" s="469"/>
      <c r="H2" s="469"/>
      <c r="I2" s="469"/>
      <c r="J2" s="508"/>
      <c r="K2"/>
      <c r="L2"/>
      <c r="M2"/>
      <c r="N2"/>
      <c r="O2"/>
      <c r="P2"/>
      <c r="Q2"/>
      <c r="R2"/>
      <c r="S2"/>
      <c r="T2"/>
      <c r="U2"/>
      <c r="V2"/>
      <c r="W2"/>
      <c r="X2"/>
      <c r="Y2"/>
      <c r="Z2"/>
      <c r="AA2"/>
      <c r="AB2"/>
      <c r="AC2"/>
      <c r="AD2"/>
      <c r="AE2"/>
      <c r="AF2"/>
      <c r="AG2"/>
      <c r="AH2"/>
      <c r="AI2"/>
      <c r="AJ2"/>
      <c r="AK2"/>
      <c r="AL2"/>
      <c r="AM2"/>
      <c r="AN2"/>
      <c r="AO2"/>
      <c r="AP2" s="69"/>
    </row>
    <row r="3" spans="1:42" ht="15" customHeight="1" x14ac:dyDescent="0.25">
      <c r="A3" s="472"/>
      <c r="B3" s="473"/>
      <c r="C3" s="525" t="s">
        <v>733</v>
      </c>
      <c r="D3" s="525"/>
      <c r="E3" s="525"/>
      <c r="F3" s="525"/>
      <c r="G3" s="525"/>
      <c r="H3" s="525"/>
      <c r="I3" s="525"/>
      <c r="J3" s="526"/>
      <c r="K3"/>
      <c r="L3"/>
      <c r="M3"/>
      <c r="N3"/>
      <c r="O3"/>
      <c r="P3"/>
      <c r="Q3"/>
      <c r="R3"/>
      <c r="S3"/>
      <c r="T3"/>
      <c r="U3"/>
      <c r="V3"/>
      <c r="W3"/>
      <c r="X3"/>
      <c r="Y3"/>
      <c r="Z3"/>
      <c r="AA3"/>
      <c r="AB3"/>
      <c r="AC3"/>
      <c r="AD3"/>
      <c r="AE3"/>
      <c r="AF3"/>
      <c r="AG3"/>
      <c r="AH3"/>
      <c r="AI3"/>
      <c r="AJ3"/>
      <c r="AK3"/>
      <c r="AL3"/>
      <c r="AM3"/>
      <c r="AN3"/>
      <c r="AO3"/>
      <c r="AP3" s="69"/>
    </row>
    <row r="4" spans="1:42" ht="15" customHeight="1" x14ac:dyDescent="0.25">
      <c r="A4" s="527"/>
      <c r="B4" s="473"/>
      <c r="C4" s="525" t="s">
        <v>581</v>
      </c>
      <c r="D4" s="525"/>
      <c r="E4" s="525"/>
      <c r="F4" s="525"/>
      <c r="G4" s="525"/>
      <c r="H4" s="525"/>
      <c r="I4" s="525"/>
      <c r="J4" s="526"/>
      <c r="K4"/>
      <c r="L4"/>
      <c r="M4"/>
      <c r="N4"/>
      <c r="O4"/>
      <c r="P4"/>
      <c r="Q4"/>
      <c r="R4"/>
      <c r="S4"/>
      <c r="T4"/>
      <c r="U4"/>
      <c r="V4"/>
      <c r="W4"/>
      <c r="X4"/>
      <c r="Y4"/>
      <c r="Z4"/>
      <c r="AA4"/>
      <c r="AB4"/>
      <c r="AC4"/>
      <c r="AD4"/>
      <c r="AE4"/>
      <c r="AF4"/>
      <c r="AG4"/>
      <c r="AH4"/>
      <c r="AI4"/>
      <c r="AJ4"/>
      <c r="AK4"/>
      <c r="AL4"/>
      <c r="AM4"/>
      <c r="AN4"/>
      <c r="AO4"/>
      <c r="AP4" s="69"/>
    </row>
    <row r="5" spans="1:42" x14ac:dyDescent="0.25">
      <c r="A5" s="474"/>
      <c r="B5" s="511"/>
      <c r="C5" s="512"/>
      <c r="D5" s="513"/>
      <c r="E5" s="513"/>
      <c r="F5" s="513"/>
      <c r="G5" s="514"/>
      <c r="H5" s="514"/>
      <c r="I5" s="514"/>
      <c r="J5" s="508"/>
      <c r="K5"/>
      <c r="L5"/>
      <c r="M5"/>
      <c r="N5"/>
      <c r="O5"/>
      <c r="P5"/>
      <c r="Q5"/>
      <c r="R5"/>
      <c r="S5"/>
      <c r="T5"/>
      <c r="U5"/>
      <c r="V5"/>
      <c r="W5"/>
      <c r="X5"/>
      <c r="Y5"/>
      <c r="Z5"/>
      <c r="AA5"/>
      <c r="AB5"/>
      <c r="AC5"/>
      <c r="AD5"/>
      <c r="AE5"/>
      <c r="AF5"/>
      <c r="AG5"/>
      <c r="AH5"/>
      <c r="AI5"/>
      <c r="AJ5"/>
      <c r="AK5"/>
      <c r="AL5"/>
      <c r="AM5"/>
      <c r="AN5"/>
      <c r="AO5"/>
      <c r="AP5" s="69"/>
    </row>
    <row r="6" spans="1:42" x14ac:dyDescent="0.25">
      <c r="A6" s="474"/>
      <c r="B6" s="511"/>
      <c r="C6" s="737" t="s">
        <v>734</v>
      </c>
      <c r="D6" s="737"/>
      <c r="E6" s="737"/>
      <c r="F6" s="513"/>
      <c r="G6" s="514"/>
      <c r="H6" s="514"/>
      <c r="I6" s="514"/>
      <c r="J6" s="508"/>
      <c r="K6"/>
      <c r="L6"/>
      <c r="M6"/>
      <c r="N6"/>
      <c r="O6"/>
      <c r="P6"/>
      <c r="Q6"/>
      <c r="R6"/>
      <c r="S6"/>
      <c r="T6"/>
      <c r="U6"/>
      <c r="V6"/>
      <c r="W6"/>
      <c r="X6"/>
      <c r="Y6"/>
      <c r="Z6"/>
      <c r="AA6"/>
      <c r="AB6"/>
      <c r="AC6"/>
      <c r="AD6"/>
      <c r="AE6"/>
      <c r="AF6"/>
      <c r="AG6"/>
      <c r="AH6"/>
      <c r="AI6"/>
      <c r="AJ6"/>
      <c r="AK6"/>
      <c r="AL6"/>
      <c r="AM6"/>
      <c r="AN6"/>
      <c r="AO6"/>
      <c r="AP6" s="69"/>
    </row>
    <row r="7" spans="1:42" x14ac:dyDescent="0.25">
      <c r="A7" s="474"/>
      <c r="B7" s="511"/>
      <c r="C7" s="738" t="s">
        <v>735</v>
      </c>
      <c r="D7" s="739"/>
      <c r="E7" s="528">
        <v>45000</v>
      </c>
      <c r="F7" s="513"/>
      <c r="G7" s="514"/>
      <c r="H7" s="514"/>
      <c r="I7" s="514"/>
      <c r="J7" s="508"/>
      <c r="K7"/>
      <c r="L7"/>
      <c r="M7"/>
      <c r="N7"/>
      <c r="O7"/>
      <c r="P7"/>
      <c r="Q7"/>
      <c r="R7"/>
      <c r="S7"/>
      <c r="T7"/>
      <c r="U7"/>
      <c r="V7"/>
      <c r="W7"/>
      <c r="X7"/>
      <c r="Y7"/>
      <c r="Z7"/>
      <c r="AA7"/>
      <c r="AB7"/>
      <c r="AC7"/>
      <c r="AD7"/>
      <c r="AE7"/>
      <c r="AF7"/>
      <c r="AG7"/>
      <c r="AH7"/>
      <c r="AI7"/>
      <c r="AJ7"/>
      <c r="AK7"/>
      <c r="AL7"/>
      <c r="AM7"/>
      <c r="AN7"/>
      <c r="AO7"/>
      <c r="AP7" s="69"/>
    </row>
    <row r="8" spans="1:42" x14ac:dyDescent="0.25">
      <c r="A8" s="474"/>
      <c r="B8" s="511"/>
      <c r="C8" s="738" t="s">
        <v>736</v>
      </c>
      <c r="D8" s="739"/>
      <c r="E8" s="528">
        <v>80000</v>
      </c>
      <c r="F8" s="513"/>
      <c r="G8" s="514"/>
      <c r="H8" s="514"/>
      <c r="I8" s="514"/>
      <c r="J8" s="508"/>
      <c r="K8"/>
      <c r="L8"/>
      <c r="M8"/>
      <c r="N8"/>
      <c r="O8"/>
      <c r="P8"/>
      <c r="Q8"/>
      <c r="R8"/>
      <c r="S8"/>
      <c r="T8"/>
      <c r="U8"/>
      <c r="V8"/>
      <c r="W8"/>
      <c r="X8"/>
      <c r="Y8"/>
      <c r="Z8"/>
      <c r="AA8"/>
      <c r="AB8"/>
      <c r="AC8"/>
      <c r="AD8"/>
      <c r="AE8"/>
      <c r="AF8"/>
      <c r="AG8"/>
      <c r="AH8"/>
      <c r="AI8"/>
      <c r="AJ8"/>
      <c r="AK8"/>
      <c r="AL8"/>
      <c r="AM8"/>
      <c r="AN8"/>
      <c r="AO8"/>
      <c r="AP8" s="69"/>
    </row>
    <row r="9" spans="1:42" x14ac:dyDescent="0.25">
      <c r="A9" s="474"/>
      <c r="B9" s="511"/>
      <c r="C9" s="738" t="s">
        <v>541</v>
      </c>
      <c r="D9" s="739"/>
      <c r="E9" s="528">
        <v>25000</v>
      </c>
      <c r="F9" s="513"/>
      <c r="G9" s="514"/>
      <c r="H9" s="514"/>
      <c r="I9" s="514"/>
      <c r="J9" s="508"/>
      <c r="K9"/>
      <c r="L9"/>
      <c r="M9"/>
      <c r="N9"/>
      <c r="O9"/>
      <c r="P9"/>
      <c r="Q9"/>
      <c r="R9"/>
      <c r="S9"/>
      <c r="T9"/>
      <c r="U9"/>
      <c r="V9"/>
      <c r="W9"/>
      <c r="X9"/>
      <c r="Y9"/>
      <c r="Z9"/>
      <c r="AA9"/>
      <c r="AB9"/>
      <c r="AC9"/>
      <c r="AD9"/>
      <c r="AE9"/>
      <c r="AF9"/>
      <c r="AG9"/>
      <c r="AH9"/>
      <c r="AI9"/>
      <c r="AJ9"/>
      <c r="AK9"/>
      <c r="AL9"/>
      <c r="AM9"/>
      <c r="AN9"/>
      <c r="AO9"/>
      <c r="AP9" s="69"/>
    </row>
    <row r="10" spans="1:42" x14ac:dyDescent="0.25">
      <c r="A10" s="474"/>
      <c r="B10" s="511"/>
      <c r="C10" s="738" t="s">
        <v>737</v>
      </c>
      <c r="D10" s="739"/>
      <c r="E10" s="528">
        <v>32000</v>
      </c>
      <c r="F10" s="513"/>
      <c r="G10" s="514"/>
      <c r="H10" s="514"/>
      <c r="I10" s="514"/>
      <c r="J10" s="508"/>
      <c r="K10"/>
      <c r="L10"/>
      <c r="M10"/>
      <c r="N10"/>
      <c r="O10"/>
      <c r="P10"/>
      <c r="Q10"/>
      <c r="R10"/>
      <c r="S10"/>
      <c r="T10"/>
      <c r="U10"/>
      <c r="V10"/>
      <c r="W10"/>
      <c r="X10"/>
      <c r="Y10"/>
      <c r="Z10"/>
      <c r="AA10"/>
      <c r="AB10"/>
      <c r="AC10"/>
      <c r="AD10"/>
      <c r="AE10"/>
      <c r="AF10"/>
      <c r="AG10"/>
      <c r="AH10"/>
      <c r="AI10"/>
      <c r="AJ10"/>
      <c r="AK10"/>
      <c r="AL10"/>
      <c r="AM10"/>
      <c r="AN10"/>
      <c r="AO10"/>
      <c r="AP10" s="69"/>
    </row>
    <row r="11" spans="1:42" x14ac:dyDescent="0.25">
      <c r="A11" s="474"/>
      <c r="B11" s="511"/>
      <c r="C11" s="512" t="s">
        <v>738</v>
      </c>
      <c r="D11" s="513"/>
      <c r="E11" s="513"/>
      <c r="F11" s="513"/>
      <c r="G11" s="514"/>
      <c r="H11" s="514"/>
      <c r="I11" s="514"/>
      <c r="J11" s="508"/>
      <c r="K11"/>
      <c r="L11"/>
      <c r="M11"/>
      <c r="N11"/>
      <c r="O11"/>
      <c r="P11"/>
      <c r="Q11"/>
      <c r="R11"/>
      <c r="S11"/>
      <c r="T11"/>
      <c r="U11"/>
      <c r="V11"/>
      <c r="W11"/>
      <c r="X11"/>
      <c r="Y11"/>
      <c r="Z11"/>
      <c r="AA11"/>
      <c r="AB11"/>
      <c r="AC11"/>
      <c r="AD11"/>
      <c r="AE11"/>
      <c r="AF11"/>
      <c r="AG11"/>
      <c r="AH11"/>
      <c r="AI11"/>
      <c r="AJ11"/>
      <c r="AK11"/>
      <c r="AL11"/>
      <c r="AM11"/>
      <c r="AN11"/>
      <c r="AO11"/>
      <c r="AP11" s="69"/>
    </row>
    <row r="12" spans="1:42" x14ac:dyDescent="0.25">
      <c r="A12" s="474"/>
      <c r="B12" s="511"/>
      <c r="C12" s="512"/>
      <c r="D12" s="513"/>
      <c r="E12" s="513"/>
      <c r="F12" s="513"/>
      <c r="G12" s="514"/>
      <c r="H12" s="514"/>
      <c r="I12" s="514"/>
      <c r="J12" s="508"/>
      <c r="K12"/>
      <c r="L12"/>
      <c r="M12"/>
      <c r="N12"/>
      <c r="O12"/>
      <c r="P12"/>
      <c r="Q12"/>
      <c r="R12"/>
      <c r="S12"/>
      <c r="T12"/>
      <c r="U12"/>
      <c r="V12"/>
      <c r="W12"/>
      <c r="X12"/>
      <c r="Y12"/>
      <c r="Z12"/>
      <c r="AA12"/>
      <c r="AB12"/>
      <c r="AC12"/>
      <c r="AD12"/>
      <c r="AE12"/>
      <c r="AF12"/>
      <c r="AG12"/>
      <c r="AH12"/>
      <c r="AI12"/>
      <c r="AJ12"/>
      <c r="AK12"/>
      <c r="AL12"/>
      <c r="AM12"/>
      <c r="AN12"/>
      <c r="AO12"/>
      <c r="AP12" s="69"/>
    </row>
    <row r="13" spans="1:42" x14ac:dyDescent="0.25">
      <c r="A13" s="474"/>
      <c r="B13" s="511"/>
      <c r="C13" s="529" t="s">
        <v>80</v>
      </c>
      <c r="D13" s="530">
        <v>2023</v>
      </c>
      <c r="E13" s="531">
        <v>2024</v>
      </c>
      <c r="F13" s="531">
        <v>2025</v>
      </c>
      <c r="G13" s="531">
        <v>2026</v>
      </c>
      <c r="H13" s="514"/>
      <c r="I13" s="514"/>
      <c r="J13" s="508"/>
      <c r="K13"/>
      <c r="L13"/>
      <c r="M13"/>
      <c r="N13"/>
      <c r="O13"/>
      <c r="P13"/>
      <c r="Q13"/>
      <c r="R13"/>
      <c r="S13"/>
      <c r="T13"/>
      <c r="U13"/>
      <c r="V13"/>
      <c r="W13"/>
      <c r="X13"/>
      <c r="Y13"/>
      <c r="Z13"/>
      <c r="AA13"/>
      <c r="AB13"/>
      <c r="AC13"/>
      <c r="AD13"/>
      <c r="AE13"/>
      <c r="AF13"/>
      <c r="AG13"/>
      <c r="AH13"/>
      <c r="AI13"/>
      <c r="AJ13"/>
      <c r="AK13"/>
      <c r="AL13"/>
      <c r="AM13"/>
      <c r="AN13"/>
      <c r="AO13"/>
      <c r="AP13" s="69"/>
    </row>
    <row r="14" spans="1:42" x14ac:dyDescent="0.25">
      <c r="A14" s="474"/>
      <c r="B14" s="511"/>
      <c r="C14" s="529" t="s">
        <v>739</v>
      </c>
      <c r="D14" s="532">
        <v>1</v>
      </c>
      <c r="E14" s="533">
        <v>0.5</v>
      </c>
      <c r="F14" s="533">
        <v>0.25</v>
      </c>
      <c r="G14" s="533">
        <v>0</v>
      </c>
      <c r="H14" s="514"/>
      <c r="I14" s="514"/>
      <c r="J14" s="508"/>
      <c r="K14"/>
      <c r="L14"/>
      <c r="M14"/>
      <c r="N14"/>
      <c r="O14"/>
      <c r="P14"/>
      <c r="Q14"/>
      <c r="R14"/>
      <c r="S14"/>
      <c r="T14"/>
      <c r="U14"/>
      <c r="V14"/>
      <c r="W14"/>
      <c r="X14"/>
      <c r="Y14"/>
      <c r="Z14"/>
      <c r="AA14"/>
      <c r="AB14"/>
      <c r="AC14"/>
      <c r="AD14"/>
      <c r="AE14"/>
      <c r="AF14"/>
      <c r="AG14"/>
      <c r="AH14"/>
      <c r="AI14"/>
      <c r="AJ14"/>
      <c r="AK14"/>
      <c r="AL14"/>
      <c r="AM14"/>
      <c r="AN14"/>
      <c r="AO14"/>
      <c r="AP14" s="69"/>
    </row>
    <row r="15" spans="1:42" x14ac:dyDescent="0.25">
      <c r="A15" s="474"/>
      <c r="B15" s="514"/>
      <c r="C15" s="512" t="s">
        <v>740</v>
      </c>
      <c r="D15" s="514"/>
      <c r="E15" s="514"/>
      <c r="F15" s="514"/>
      <c r="G15" s="514"/>
      <c r="H15" s="514"/>
      <c r="I15" s="514"/>
      <c r="J15" s="508"/>
      <c r="K15"/>
      <c r="L15"/>
      <c r="M15"/>
      <c r="N15"/>
      <c r="O15"/>
      <c r="P15"/>
      <c r="Q15"/>
      <c r="R15"/>
      <c r="S15"/>
      <c r="T15"/>
      <c r="U15"/>
      <c r="V15"/>
      <c r="W15"/>
      <c r="X15"/>
      <c r="Y15"/>
      <c r="Z15"/>
      <c r="AA15"/>
      <c r="AB15"/>
      <c r="AC15"/>
      <c r="AD15"/>
      <c r="AE15"/>
      <c r="AF15"/>
      <c r="AG15"/>
      <c r="AH15"/>
      <c r="AI15"/>
      <c r="AJ15"/>
      <c r="AK15"/>
      <c r="AL15"/>
      <c r="AM15"/>
      <c r="AN15"/>
      <c r="AO15"/>
      <c r="AP15" s="69"/>
    </row>
    <row r="16" spans="1:42" x14ac:dyDescent="0.25">
      <c r="A16" s="474"/>
      <c r="B16" s="514"/>
      <c r="C16" s="514"/>
      <c r="D16" s="514"/>
      <c r="E16" s="514"/>
      <c r="F16" s="514"/>
      <c r="G16" s="514"/>
      <c r="H16" s="514"/>
      <c r="I16" s="514"/>
      <c r="J16" s="508"/>
      <c r="K16"/>
      <c r="L16"/>
      <c r="M16"/>
      <c r="N16"/>
      <c r="O16"/>
      <c r="P16"/>
      <c r="Q16"/>
      <c r="R16"/>
      <c r="S16"/>
      <c r="T16"/>
      <c r="U16"/>
      <c r="V16"/>
      <c r="W16"/>
      <c r="X16"/>
      <c r="Y16"/>
      <c r="Z16"/>
      <c r="AA16"/>
      <c r="AB16"/>
      <c r="AC16"/>
      <c r="AD16"/>
      <c r="AE16"/>
      <c r="AF16"/>
      <c r="AG16"/>
      <c r="AH16"/>
      <c r="AI16"/>
      <c r="AJ16"/>
      <c r="AK16"/>
      <c r="AL16"/>
      <c r="AM16"/>
      <c r="AN16"/>
      <c r="AO16"/>
      <c r="AP16" s="69"/>
    </row>
    <row r="17" spans="1:42" x14ac:dyDescent="0.25">
      <c r="A17" s="474"/>
      <c r="B17" s="511"/>
      <c r="C17" s="534" t="s">
        <v>84</v>
      </c>
      <c r="D17" s="535">
        <v>1</v>
      </c>
      <c r="E17" s="535">
        <v>2</v>
      </c>
      <c r="F17" s="535">
        <v>3</v>
      </c>
      <c r="G17" s="535">
        <v>4</v>
      </c>
      <c r="H17" s="514"/>
      <c r="I17" s="514"/>
      <c r="J17" s="508"/>
      <c r="K17"/>
      <c r="L17"/>
      <c r="M17"/>
      <c r="N17"/>
      <c r="O17"/>
      <c r="P17"/>
      <c r="Q17"/>
      <c r="R17"/>
      <c r="S17"/>
      <c r="T17"/>
      <c r="U17"/>
      <c r="V17"/>
      <c r="W17"/>
      <c r="X17"/>
      <c r="Y17"/>
      <c r="Z17"/>
      <c r="AA17"/>
      <c r="AB17"/>
      <c r="AC17"/>
      <c r="AD17"/>
      <c r="AE17"/>
      <c r="AF17"/>
      <c r="AG17"/>
      <c r="AH17"/>
      <c r="AI17"/>
      <c r="AJ17"/>
      <c r="AK17"/>
      <c r="AL17"/>
      <c r="AM17"/>
      <c r="AN17"/>
      <c r="AO17"/>
      <c r="AP17" s="69"/>
    </row>
    <row r="18" spans="1:42" x14ac:dyDescent="0.25">
      <c r="A18" s="474"/>
      <c r="B18" s="511"/>
      <c r="C18" s="536" t="s">
        <v>741</v>
      </c>
      <c r="D18" s="537">
        <v>0.05</v>
      </c>
      <c r="E18" s="538">
        <v>4.9000000000000002E-2</v>
      </c>
      <c r="F18" s="538">
        <v>4.8000000000000001E-2</v>
      </c>
      <c r="G18" s="538">
        <v>4.65E-2</v>
      </c>
      <c r="H18" s="514"/>
      <c r="I18" s="514"/>
      <c r="J18" s="508"/>
      <c r="K18"/>
      <c r="L18"/>
      <c r="M18"/>
      <c r="N18"/>
      <c r="O18"/>
      <c r="P18"/>
      <c r="Q18"/>
      <c r="R18"/>
      <c r="S18"/>
      <c r="T18"/>
      <c r="U18"/>
      <c r="V18"/>
      <c r="W18"/>
      <c r="X18"/>
      <c r="Y18"/>
      <c r="Z18"/>
      <c r="AA18"/>
      <c r="AB18"/>
      <c r="AC18"/>
      <c r="AD18"/>
      <c r="AE18"/>
      <c r="AF18"/>
      <c r="AG18"/>
      <c r="AH18"/>
      <c r="AI18"/>
      <c r="AJ18"/>
      <c r="AK18"/>
      <c r="AL18"/>
      <c r="AM18"/>
      <c r="AN18"/>
      <c r="AO18"/>
      <c r="AP18" s="69"/>
    </row>
    <row r="19" spans="1:42" x14ac:dyDescent="0.25">
      <c r="A19" s="474"/>
      <c r="B19" s="511"/>
      <c r="C19" s="513"/>
      <c r="D19" s="513"/>
      <c r="E19" s="513"/>
      <c r="F19" s="513"/>
      <c r="G19" s="513"/>
      <c r="H19" s="514"/>
      <c r="I19" s="514"/>
      <c r="J19" s="508"/>
      <c r="K19"/>
      <c r="L19"/>
      <c r="M19"/>
      <c r="N19"/>
      <c r="O19"/>
      <c r="P19"/>
      <c r="Q19"/>
      <c r="R19"/>
      <c r="S19"/>
      <c r="T19"/>
      <c r="U19"/>
      <c r="V19"/>
      <c r="W19"/>
      <c r="X19"/>
      <c r="Y19"/>
      <c r="Z19"/>
      <c r="AA19"/>
      <c r="AB19"/>
      <c r="AC19"/>
      <c r="AD19"/>
      <c r="AE19"/>
      <c r="AF19"/>
      <c r="AG19"/>
      <c r="AH19"/>
      <c r="AI19"/>
      <c r="AJ19"/>
      <c r="AK19"/>
      <c r="AL19"/>
      <c r="AM19"/>
      <c r="AN19"/>
      <c r="AO19"/>
      <c r="AP19" s="69"/>
    </row>
    <row r="20" spans="1:42" x14ac:dyDescent="0.25">
      <c r="A20" s="474"/>
      <c r="B20" s="511"/>
      <c r="C20" s="512" t="s">
        <v>742</v>
      </c>
      <c r="D20" s="513"/>
      <c r="E20" s="513"/>
      <c r="F20" s="513"/>
      <c r="G20" s="514"/>
      <c r="H20" s="514"/>
      <c r="I20" s="514"/>
      <c r="J20" s="508"/>
      <c r="K20"/>
      <c r="L20"/>
      <c r="M20"/>
      <c r="N20"/>
      <c r="O20"/>
      <c r="P20"/>
      <c r="Q20"/>
      <c r="R20"/>
      <c r="S20"/>
      <c r="T20"/>
      <c r="U20"/>
      <c r="V20"/>
      <c r="W20"/>
      <c r="X20"/>
      <c r="Y20"/>
      <c r="Z20"/>
      <c r="AA20"/>
      <c r="AB20"/>
      <c r="AC20"/>
      <c r="AD20"/>
      <c r="AE20"/>
      <c r="AF20"/>
      <c r="AG20"/>
      <c r="AH20"/>
      <c r="AI20"/>
      <c r="AJ20"/>
      <c r="AK20"/>
      <c r="AL20"/>
      <c r="AM20"/>
      <c r="AN20"/>
      <c r="AO20"/>
      <c r="AP20" s="69"/>
    </row>
    <row r="21" spans="1:42" x14ac:dyDescent="0.25">
      <c r="A21" s="474"/>
      <c r="B21" s="511"/>
      <c r="C21" s="512" t="s">
        <v>743</v>
      </c>
      <c r="D21" s="513"/>
      <c r="E21" s="513"/>
      <c r="F21" s="513"/>
      <c r="G21" s="514"/>
      <c r="H21" s="514"/>
      <c r="I21" s="514"/>
      <c r="J21" s="508"/>
      <c r="K21"/>
      <c r="L21"/>
      <c r="M21"/>
      <c r="N21"/>
      <c r="O21"/>
      <c r="P21"/>
      <c r="Q21"/>
      <c r="R21"/>
      <c r="S21"/>
      <c r="T21"/>
      <c r="U21"/>
      <c r="V21"/>
      <c r="W21"/>
      <c r="X21"/>
      <c r="Y21"/>
      <c r="Z21"/>
      <c r="AA21"/>
      <c r="AB21"/>
      <c r="AC21"/>
      <c r="AD21"/>
      <c r="AE21"/>
      <c r="AF21"/>
      <c r="AG21"/>
      <c r="AH21"/>
      <c r="AI21"/>
      <c r="AJ21"/>
      <c r="AK21"/>
      <c r="AL21"/>
      <c r="AM21"/>
      <c r="AN21"/>
      <c r="AO21"/>
      <c r="AP21" s="69"/>
    </row>
    <row r="22" spans="1:42" x14ac:dyDescent="0.25">
      <c r="A22" s="474"/>
      <c r="B22" s="511"/>
      <c r="C22" s="512" t="s">
        <v>744</v>
      </c>
      <c r="D22" s="513"/>
      <c r="E22" s="513"/>
      <c r="F22" s="513"/>
      <c r="G22" s="514"/>
      <c r="H22" s="514"/>
      <c r="I22" s="514"/>
      <c r="J22" s="508"/>
      <c r="K22"/>
      <c r="L22"/>
      <c r="M22"/>
      <c r="N22"/>
      <c r="O22"/>
      <c r="P22"/>
      <c r="Q22"/>
      <c r="R22"/>
      <c r="S22"/>
      <c r="T22"/>
      <c r="U22"/>
      <c r="V22"/>
      <c r="W22"/>
      <c r="X22"/>
      <c r="Y22"/>
      <c r="Z22"/>
      <c r="AA22"/>
      <c r="AB22"/>
      <c r="AC22"/>
      <c r="AD22"/>
      <c r="AE22"/>
      <c r="AF22"/>
      <c r="AG22"/>
      <c r="AH22"/>
      <c r="AI22"/>
      <c r="AJ22"/>
      <c r="AK22"/>
      <c r="AL22"/>
      <c r="AM22"/>
      <c r="AN22"/>
      <c r="AO22"/>
      <c r="AP22" s="69"/>
    </row>
    <row r="23" spans="1:42" x14ac:dyDescent="0.25">
      <c r="A23" s="474"/>
      <c r="B23" s="511"/>
      <c r="C23" s="512" t="s">
        <v>745</v>
      </c>
      <c r="D23" s="513"/>
      <c r="E23" s="513"/>
      <c r="F23" s="513"/>
      <c r="G23" s="514"/>
      <c r="H23" s="514"/>
      <c r="I23" s="514"/>
      <c r="J23" s="508"/>
      <c r="K23"/>
      <c r="L23"/>
      <c r="M23"/>
      <c r="N23"/>
      <c r="O23"/>
      <c r="P23"/>
      <c r="Q23"/>
      <c r="R23"/>
      <c r="S23"/>
      <c r="T23"/>
      <c r="U23"/>
      <c r="V23"/>
      <c r="W23"/>
      <c r="X23"/>
      <c r="Y23"/>
      <c r="Z23"/>
      <c r="AA23"/>
      <c r="AB23"/>
      <c r="AC23"/>
      <c r="AD23"/>
      <c r="AE23"/>
      <c r="AF23"/>
      <c r="AG23"/>
      <c r="AH23"/>
      <c r="AI23"/>
      <c r="AJ23"/>
      <c r="AK23"/>
      <c r="AL23"/>
      <c r="AM23"/>
      <c r="AN23"/>
      <c r="AO23"/>
      <c r="AP23" s="69"/>
    </row>
    <row r="24" spans="1:42" x14ac:dyDescent="0.25">
      <c r="A24" s="474"/>
      <c r="B24" s="511"/>
      <c r="C24" s="512" t="s">
        <v>746</v>
      </c>
      <c r="D24" s="513"/>
      <c r="E24" s="513"/>
      <c r="F24" s="513"/>
      <c r="G24" s="514"/>
      <c r="H24" s="514"/>
      <c r="I24" s="514"/>
      <c r="J24" s="508"/>
      <c r="K24"/>
      <c r="L24"/>
      <c r="M24"/>
      <c r="N24"/>
      <c r="O24"/>
      <c r="P24"/>
      <c r="Q24"/>
      <c r="R24"/>
      <c r="S24"/>
      <c r="T24"/>
      <c r="U24"/>
      <c r="V24"/>
      <c r="W24"/>
      <c r="X24"/>
      <c r="Y24"/>
      <c r="Z24"/>
      <c r="AA24"/>
      <c r="AB24"/>
      <c r="AC24"/>
      <c r="AD24"/>
      <c r="AE24"/>
      <c r="AF24"/>
      <c r="AG24"/>
      <c r="AH24"/>
      <c r="AI24"/>
      <c r="AJ24"/>
      <c r="AK24"/>
      <c r="AL24"/>
      <c r="AM24"/>
      <c r="AN24"/>
      <c r="AO24"/>
      <c r="AP24" s="69"/>
    </row>
    <row r="25" spans="1:42" x14ac:dyDescent="0.25">
      <c r="A25" s="474"/>
      <c r="B25" s="511"/>
      <c r="C25" s="512"/>
      <c r="D25" s="513"/>
      <c r="E25" s="513"/>
      <c r="F25" s="513"/>
      <c r="G25" s="514"/>
      <c r="H25" s="514"/>
      <c r="I25" s="514"/>
      <c r="J25" s="508"/>
      <c r="K25"/>
      <c r="L25"/>
      <c r="M25"/>
      <c r="N25"/>
      <c r="O25"/>
      <c r="P25"/>
      <c r="Q25"/>
      <c r="R25"/>
      <c r="S25"/>
      <c r="T25"/>
      <c r="U25"/>
      <c r="V25"/>
      <c r="W25"/>
      <c r="X25"/>
      <c r="Y25"/>
      <c r="Z25"/>
      <c r="AA25"/>
      <c r="AB25"/>
      <c r="AC25"/>
      <c r="AD25"/>
      <c r="AE25"/>
      <c r="AF25"/>
      <c r="AG25"/>
      <c r="AH25"/>
      <c r="AI25"/>
      <c r="AJ25"/>
      <c r="AK25"/>
      <c r="AL25"/>
      <c r="AM25"/>
      <c r="AN25"/>
      <c r="AO25"/>
      <c r="AP25" s="69"/>
    </row>
    <row r="26" spans="1:42" s="509" customFormat="1" ht="16.5" customHeight="1" x14ac:dyDescent="0.25">
      <c r="A26" s="539"/>
      <c r="B26" s="540"/>
      <c r="C26" s="740" t="s">
        <v>747</v>
      </c>
      <c r="D26" s="740"/>
      <c r="E26" s="740"/>
      <c r="F26" s="513"/>
      <c r="G26" s="514"/>
      <c r="H26" s="514"/>
      <c r="I26" s="514"/>
      <c r="J26" s="508"/>
      <c r="K26"/>
      <c r="L26"/>
      <c r="M26"/>
      <c r="N26"/>
      <c r="O26"/>
      <c r="P26"/>
      <c r="Q26"/>
      <c r="R26"/>
      <c r="S26"/>
      <c r="T26"/>
      <c r="U26"/>
      <c r="V26"/>
      <c r="W26"/>
      <c r="X26"/>
      <c r="Y26"/>
      <c r="Z26"/>
      <c r="AA26"/>
      <c r="AB26"/>
      <c r="AC26"/>
      <c r="AD26"/>
      <c r="AE26"/>
      <c r="AF26"/>
      <c r="AG26"/>
      <c r="AH26"/>
      <c r="AI26"/>
      <c r="AJ26"/>
      <c r="AK26"/>
      <c r="AL26"/>
      <c r="AM26"/>
      <c r="AN26"/>
      <c r="AO26"/>
      <c r="AP26" s="69"/>
    </row>
    <row r="27" spans="1:42" s="509" customFormat="1" ht="15" customHeight="1" x14ac:dyDescent="0.25">
      <c r="A27" s="539"/>
      <c r="B27" s="540"/>
      <c r="C27" s="736" t="s">
        <v>748</v>
      </c>
      <c r="D27" s="736"/>
      <c r="E27" s="541">
        <v>3750</v>
      </c>
      <c r="F27" s="513"/>
      <c r="G27" s="514"/>
      <c r="H27" s="514"/>
      <c r="I27" s="514"/>
      <c r="J27" s="508"/>
      <c r="K27"/>
      <c r="L27"/>
      <c r="M27"/>
      <c r="N27"/>
      <c r="O27"/>
      <c r="P27"/>
      <c r="Q27"/>
      <c r="R27"/>
      <c r="S27"/>
      <c r="T27"/>
      <c r="U27"/>
      <c r="V27"/>
      <c r="W27"/>
      <c r="X27"/>
      <c r="Y27"/>
      <c r="Z27"/>
      <c r="AA27"/>
      <c r="AB27"/>
      <c r="AC27"/>
      <c r="AD27"/>
      <c r="AE27"/>
      <c r="AF27"/>
      <c r="AG27"/>
      <c r="AH27"/>
      <c r="AI27"/>
      <c r="AJ27"/>
      <c r="AK27"/>
      <c r="AL27"/>
      <c r="AM27"/>
      <c r="AN27"/>
      <c r="AO27"/>
      <c r="AP27" s="69"/>
    </row>
    <row r="28" spans="1:42" s="509" customFormat="1" ht="15" customHeight="1" x14ac:dyDescent="0.25">
      <c r="A28" s="539"/>
      <c r="B28" s="540"/>
      <c r="C28" s="736" t="s">
        <v>749</v>
      </c>
      <c r="D28" s="736"/>
      <c r="E28" s="541">
        <v>50000</v>
      </c>
      <c r="F28" s="513"/>
      <c r="G28" s="514"/>
      <c r="H28" s="514"/>
      <c r="I28" s="514"/>
      <c r="J28" s="508"/>
      <c r="K28"/>
      <c r="L28"/>
      <c r="M28"/>
      <c r="N28"/>
      <c r="O28"/>
      <c r="P28"/>
      <c r="Q28"/>
      <c r="R28"/>
      <c r="S28"/>
      <c r="T28"/>
      <c r="U28"/>
      <c r="V28"/>
      <c r="W28"/>
      <c r="X28"/>
      <c r="Y28"/>
      <c r="Z28"/>
      <c r="AA28"/>
      <c r="AB28"/>
      <c r="AC28"/>
      <c r="AD28"/>
      <c r="AE28"/>
      <c r="AF28"/>
      <c r="AG28"/>
      <c r="AH28"/>
      <c r="AI28"/>
      <c r="AJ28"/>
      <c r="AK28"/>
      <c r="AL28"/>
      <c r="AM28"/>
      <c r="AN28"/>
      <c r="AO28"/>
      <c r="AP28" s="69"/>
    </row>
    <row r="29" spans="1:42" s="509" customFormat="1" ht="15" customHeight="1" x14ac:dyDescent="0.25">
      <c r="A29" s="539"/>
      <c r="B29" s="540"/>
      <c r="C29" s="736" t="s">
        <v>750</v>
      </c>
      <c r="D29" s="736"/>
      <c r="E29" s="541">
        <v>35000</v>
      </c>
      <c r="F29" s="513"/>
      <c r="G29" s="514"/>
      <c r="H29" s="514"/>
      <c r="I29" s="514"/>
      <c r="J29" s="508"/>
      <c r="K29"/>
      <c r="L29"/>
      <c r="M29"/>
      <c r="N29"/>
      <c r="O29"/>
      <c r="P29"/>
      <c r="Q29"/>
      <c r="R29"/>
      <c r="S29"/>
      <c r="T29"/>
      <c r="U29"/>
      <c r="V29"/>
      <c r="W29"/>
      <c r="X29"/>
      <c r="Y29"/>
      <c r="Z29"/>
      <c r="AA29"/>
      <c r="AB29"/>
      <c r="AC29"/>
      <c r="AD29"/>
      <c r="AE29"/>
      <c r="AF29"/>
      <c r="AG29"/>
      <c r="AH29"/>
      <c r="AI29"/>
      <c r="AJ29"/>
      <c r="AK29"/>
      <c r="AL29"/>
      <c r="AM29"/>
      <c r="AN29"/>
      <c r="AO29"/>
      <c r="AP29" s="69"/>
    </row>
    <row r="30" spans="1:42" s="509" customFormat="1" ht="15" customHeight="1" x14ac:dyDescent="0.25">
      <c r="A30" s="539"/>
      <c r="B30" s="540"/>
      <c r="C30" s="736" t="s">
        <v>751</v>
      </c>
      <c r="D30" s="736"/>
      <c r="E30" s="541">
        <v>40000</v>
      </c>
      <c r="F30" s="513"/>
      <c r="G30" s="514"/>
      <c r="H30" s="514"/>
      <c r="I30" s="514"/>
      <c r="J30" s="508"/>
      <c r="K30"/>
      <c r="L30"/>
      <c r="M30"/>
      <c r="N30"/>
      <c r="O30"/>
      <c r="P30"/>
      <c r="Q30"/>
      <c r="R30"/>
      <c r="S30"/>
      <c r="T30"/>
      <c r="U30"/>
      <c r="V30"/>
      <c r="W30"/>
      <c r="X30"/>
      <c r="Y30"/>
      <c r="Z30"/>
      <c r="AA30"/>
      <c r="AB30"/>
      <c r="AC30"/>
      <c r="AD30"/>
      <c r="AE30"/>
      <c r="AF30"/>
      <c r="AG30"/>
      <c r="AH30"/>
      <c r="AI30"/>
      <c r="AJ30"/>
      <c r="AK30"/>
      <c r="AL30"/>
      <c r="AM30"/>
      <c r="AN30"/>
      <c r="AO30"/>
      <c r="AP30" s="69"/>
    </row>
    <row r="31" spans="1:42" x14ac:dyDescent="0.25">
      <c r="A31" s="474"/>
      <c r="B31" s="511"/>
      <c r="C31" s="512"/>
      <c r="D31" s="513"/>
      <c r="E31" s="513"/>
      <c r="F31" s="513"/>
      <c r="G31" s="514"/>
      <c r="H31" s="514"/>
      <c r="I31" s="514"/>
      <c r="J31" s="508"/>
      <c r="K31"/>
      <c r="L31"/>
      <c r="M31"/>
      <c r="N31"/>
      <c r="O31"/>
      <c r="P31"/>
      <c r="Q31"/>
      <c r="R31"/>
      <c r="S31"/>
      <c r="T31"/>
      <c r="U31"/>
      <c r="V31"/>
      <c r="W31"/>
      <c r="X31"/>
      <c r="Y31"/>
      <c r="Z31"/>
      <c r="AA31"/>
      <c r="AB31"/>
      <c r="AC31"/>
      <c r="AD31"/>
      <c r="AE31"/>
      <c r="AF31"/>
      <c r="AG31"/>
      <c r="AH31"/>
      <c r="AI31"/>
      <c r="AJ31"/>
      <c r="AK31"/>
      <c r="AL31"/>
      <c r="AM31"/>
      <c r="AN31"/>
      <c r="AO31"/>
      <c r="AP31" s="69"/>
    </row>
    <row r="32" spans="1:42" x14ac:dyDescent="0.25">
      <c r="A32" s="542" t="s">
        <v>13</v>
      </c>
      <c r="B32" s="543" t="s">
        <v>25</v>
      </c>
      <c r="C32" s="480" t="s">
        <v>752</v>
      </c>
      <c r="D32" s="513"/>
      <c r="E32" s="513"/>
      <c r="F32" s="513"/>
      <c r="G32" s="514"/>
      <c r="H32" s="514"/>
      <c r="I32" s="514"/>
      <c r="J32" s="508"/>
      <c r="K32"/>
      <c r="L32"/>
      <c r="M32"/>
      <c r="N32"/>
      <c r="O32"/>
      <c r="P32"/>
      <c r="Q32"/>
      <c r="R32"/>
      <c r="S32"/>
      <c r="T32"/>
      <c r="U32"/>
      <c r="V32"/>
      <c r="W32"/>
      <c r="X32"/>
      <c r="Y32"/>
      <c r="Z32"/>
      <c r="AA32"/>
      <c r="AB32"/>
      <c r="AC32"/>
      <c r="AD32"/>
      <c r="AE32"/>
      <c r="AF32"/>
      <c r="AG32"/>
      <c r="AH32"/>
      <c r="AI32"/>
      <c r="AJ32"/>
      <c r="AK32"/>
      <c r="AL32"/>
      <c r="AM32"/>
      <c r="AN32"/>
      <c r="AO32"/>
      <c r="AP32" s="69"/>
    </row>
    <row r="33" spans="1:42" x14ac:dyDescent="0.25">
      <c r="A33" s="474"/>
      <c r="B33" s="511"/>
      <c r="C33" s="512"/>
      <c r="D33" s="513"/>
      <c r="E33" s="513"/>
      <c r="F33" s="513"/>
      <c r="G33" s="514"/>
      <c r="H33" s="514"/>
      <c r="I33" s="514"/>
      <c r="J33" s="508"/>
      <c r="K33"/>
      <c r="L33"/>
      <c r="M33"/>
      <c r="N33"/>
      <c r="O33"/>
      <c r="P33"/>
      <c r="Q33"/>
      <c r="R33"/>
      <c r="S33"/>
      <c r="T33"/>
      <c r="U33"/>
      <c r="V33"/>
      <c r="W33"/>
      <c r="X33"/>
      <c r="Y33"/>
      <c r="Z33"/>
      <c r="AA33"/>
      <c r="AB33"/>
      <c r="AC33"/>
      <c r="AD33"/>
      <c r="AE33"/>
      <c r="AF33"/>
      <c r="AG33"/>
      <c r="AH33"/>
      <c r="AI33"/>
      <c r="AJ33"/>
      <c r="AK33"/>
      <c r="AL33"/>
      <c r="AM33"/>
      <c r="AN33"/>
      <c r="AO33"/>
      <c r="AP33" s="69"/>
    </row>
    <row r="34" spans="1:42" x14ac:dyDescent="0.25">
      <c r="A34" s="474" t="s">
        <v>27</v>
      </c>
      <c r="B34" s="511" t="s">
        <v>500</v>
      </c>
      <c r="C34" s="515" t="s">
        <v>753</v>
      </c>
      <c r="D34" s="513"/>
      <c r="E34" s="513"/>
      <c r="F34" s="513"/>
      <c r="G34" s="516"/>
      <c r="H34" s="516"/>
      <c r="I34" s="516"/>
      <c r="J34" s="508"/>
      <c r="K34"/>
      <c r="L34"/>
      <c r="M34"/>
      <c r="N34"/>
      <c r="O34"/>
      <c r="P34"/>
      <c r="Q34"/>
      <c r="R34"/>
      <c r="S34"/>
      <c r="T34"/>
      <c r="U34"/>
      <c r="V34"/>
      <c r="W34"/>
      <c r="X34"/>
      <c r="Y34"/>
      <c r="Z34"/>
      <c r="AA34"/>
      <c r="AB34"/>
      <c r="AC34"/>
      <c r="AD34"/>
      <c r="AE34"/>
      <c r="AF34"/>
      <c r="AG34"/>
      <c r="AH34"/>
      <c r="AI34"/>
      <c r="AJ34"/>
      <c r="AK34"/>
      <c r="AL34"/>
      <c r="AM34"/>
      <c r="AN34"/>
      <c r="AO34"/>
      <c r="AP34" s="69"/>
    </row>
    <row r="35" spans="1:42" x14ac:dyDescent="0.25">
      <c r="A35" s="474"/>
      <c r="B35" s="511"/>
      <c r="C35" s="515"/>
      <c r="D35" s="513"/>
      <c r="E35" s="513"/>
      <c r="F35" s="513"/>
      <c r="G35" s="516"/>
      <c r="H35" s="516"/>
      <c r="I35" s="516"/>
      <c r="J35" s="508"/>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x14ac:dyDescent="0.25">
      <c r="A36" s="474" t="s">
        <v>133</v>
      </c>
      <c r="B36" s="511" t="s">
        <v>0</v>
      </c>
      <c r="C36" s="544" t="s">
        <v>754</v>
      </c>
      <c r="D36" s="544"/>
      <c r="E36" s="544"/>
      <c r="F36" s="544"/>
      <c r="G36" s="544"/>
      <c r="H36" s="544"/>
      <c r="I36" s="544"/>
      <c r="J36" s="545"/>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x14ac:dyDescent="0.25">
      <c r="A37" s="474"/>
      <c r="B37" s="511"/>
      <c r="C37" s="488" t="s">
        <v>755</v>
      </c>
      <c r="D37" s="544"/>
      <c r="E37" s="544"/>
      <c r="F37" s="544"/>
      <c r="G37" s="544"/>
      <c r="H37" s="544"/>
      <c r="I37" s="544"/>
      <c r="J37" s="545"/>
      <c r="K37"/>
      <c r="L37"/>
      <c r="M37"/>
      <c r="N37"/>
      <c r="O37"/>
      <c r="P37"/>
      <c r="Q37"/>
      <c r="R37"/>
      <c r="S37"/>
      <c r="T37"/>
      <c r="U37"/>
      <c r="V37"/>
      <c r="W37"/>
      <c r="X37"/>
      <c r="Y37"/>
      <c r="Z37"/>
      <c r="AA37"/>
      <c r="AB37"/>
      <c r="AC37"/>
      <c r="AD37"/>
      <c r="AE37"/>
      <c r="AF37"/>
      <c r="AG37"/>
      <c r="AH37"/>
      <c r="AI37"/>
      <c r="AJ37"/>
      <c r="AK37"/>
      <c r="AL37"/>
      <c r="AM37"/>
      <c r="AN37"/>
      <c r="AO37"/>
      <c r="AP37" s="69"/>
    </row>
    <row r="38" spans="1:42" ht="15.75" thickBot="1" x14ac:dyDescent="0.3">
      <c r="A38" s="474"/>
      <c r="B38" s="511"/>
      <c r="C38" s="488"/>
      <c r="D38" s="513"/>
      <c r="E38" s="513"/>
      <c r="F38" s="513"/>
      <c r="G38" s="516"/>
      <c r="H38" s="516"/>
      <c r="I38" s="516"/>
      <c r="J38" s="508"/>
      <c r="K38"/>
      <c r="L38"/>
      <c r="M38"/>
      <c r="N38"/>
      <c r="O38"/>
      <c r="P38"/>
      <c r="Q38"/>
      <c r="R38"/>
      <c r="S38"/>
      <c r="T38"/>
      <c r="U38"/>
      <c r="V38"/>
      <c r="W38"/>
      <c r="X38"/>
      <c r="Y38"/>
      <c r="Z38"/>
      <c r="AA38"/>
      <c r="AB38"/>
      <c r="AC38"/>
      <c r="AD38"/>
      <c r="AE38"/>
      <c r="AF38"/>
      <c r="AG38"/>
      <c r="AH38"/>
      <c r="AI38"/>
      <c r="AJ38"/>
      <c r="AK38"/>
      <c r="AL38"/>
      <c r="AM38"/>
      <c r="AN38"/>
      <c r="AO38"/>
      <c r="AP38" s="69"/>
    </row>
    <row r="39" spans="1:42" ht="15.75" thickBot="1" x14ac:dyDescent="0.3">
      <c r="A39" s="489" t="s">
        <v>137</v>
      </c>
      <c r="B39" s="490"/>
      <c r="C39" s="491"/>
      <c r="D39" s="491"/>
      <c r="E39" s="491"/>
      <c r="F39" s="491"/>
      <c r="G39" s="517"/>
      <c r="H39" s="517"/>
      <c r="I39" s="517"/>
      <c r="J39" s="518"/>
      <c r="K39"/>
      <c r="L39"/>
      <c r="M39"/>
      <c r="N39"/>
      <c r="O39"/>
      <c r="P39"/>
      <c r="Q39"/>
      <c r="R39"/>
      <c r="S39"/>
      <c r="T39"/>
      <c r="U39"/>
      <c r="V39"/>
      <c r="W39"/>
      <c r="X39"/>
      <c r="Y39"/>
      <c r="Z39"/>
      <c r="AA39"/>
      <c r="AB39"/>
      <c r="AC39"/>
      <c r="AD39"/>
      <c r="AE39"/>
      <c r="AF39"/>
      <c r="AG39"/>
      <c r="AH39"/>
      <c r="AI39"/>
      <c r="AJ39"/>
      <c r="AK39"/>
      <c r="AL39"/>
      <c r="AM39"/>
      <c r="AN39"/>
      <c r="AO39"/>
      <c r="AP39" s="69"/>
    </row>
    <row r="40" spans="1:42" x14ac:dyDescent="0.25">
      <c r="A40" s="519"/>
      <c r="C40" s="521"/>
      <c r="D40" s="521"/>
      <c r="E40" s="521"/>
      <c r="F40" s="521"/>
      <c r="G40" s="521"/>
      <c r="H40" s="521"/>
      <c r="K40" s="496"/>
      <c r="L40" s="496"/>
      <c r="M40" s="496"/>
      <c r="N40"/>
      <c r="O40"/>
      <c r="P40"/>
      <c r="Q40"/>
      <c r="R40"/>
      <c r="S40"/>
      <c r="T40"/>
      <c r="U40"/>
      <c r="V40"/>
      <c r="W40"/>
      <c r="X40"/>
      <c r="Y40"/>
      <c r="Z40"/>
      <c r="AA40"/>
      <c r="AB40"/>
      <c r="AC40"/>
      <c r="AD40"/>
      <c r="AE40"/>
      <c r="AF40"/>
      <c r="AG40"/>
      <c r="AH40"/>
      <c r="AI40"/>
      <c r="AJ40"/>
      <c r="AK40"/>
      <c r="AL40"/>
      <c r="AM40"/>
      <c r="AN40"/>
      <c r="AO40"/>
      <c r="AP40" s="69"/>
    </row>
    <row r="41" spans="1:42" s="493" customFormat="1" x14ac:dyDescent="0.25">
      <c r="A41" s="546" t="s">
        <v>13</v>
      </c>
      <c r="B41" s="547">
        <v>0.5</v>
      </c>
      <c r="C41" s="548" t="s">
        <v>756</v>
      </c>
      <c r="D41" s="549"/>
      <c r="E41" s="549"/>
      <c r="F41" s="549"/>
      <c r="G41" s="549"/>
      <c r="H41" s="549"/>
      <c r="K41" s="550"/>
      <c r="N41"/>
      <c r="O41"/>
      <c r="P41"/>
      <c r="Q41"/>
      <c r="R41"/>
      <c r="S41"/>
      <c r="T41"/>
      <c r="U41"/>
      <c r="V41"/>
      <c r="W41"/>
      <c r="X41"/>
      <c r="Y41"/>
      <c r="Z41"/>
      <c r="AA41"/>
      <c r="AB41"/>
      <c r="AC41"/>
      <c r="AD41"/>
      <c r="AE41"/>
      <c r="AF41"/>
      <c r="AG41"/>
      <c r="AH41"/>
      <c r="AI41"/>
      <c r="AJ41"/>
      <c r="AK41"/>
      <c r="AL41"/>
      <c r="AM41"/>
      <c r="AN41"/>
      <c r="AO41" s="69"/>
    </row>
    <row r="42" spans="1:42" s="493" customFormat="1" x14ac:dyDescent="0.25">
      <c r="A42" s="546"/>
      <c r="B42" s="497"/>
      <c r="C42" s="498" t="s">
        <v>757</v>
      </c>
      <c r="D42" s="549"/>
      <c r="E42" s="549"/>
      <c r="F42" s="549"/>
      <c r="G42" s="549"/>
      <c r="H42" s="549"/>
      <c r="K42" s="551"/>
      <c r="N42"/>
      <c r="O42"/>
      <c r="P42"/>
      <c r="Q42"/>
      <c r="R42"/>
      <c r="S42"/>
      <c r="T42"/>
      <c r="U42"/>
      <c r="V42"/>
      <c r="W42"/>
      <c r="X42"/>
      <c r="Y42"/>
      <c r="Z42"/>
      <c r="AA42"/>
      <c r="AB42"/>
      <c r="AC42"/>
      <c r="AD42"/>
      <c r="AE42"/>
      <c r="AF42"/>
      <c r="AG42"/>
      <c r="AH42"/>
      <c r="AI42"/>
      <c r="AJ42"/>
      <c r="AK42"/>
      <c r="AL42"/>
      <c r="AM42"/>
      <c r="AN42"/>
      <c r="AO42" s="69"/>
    </row>
    <row r="43" spans="1:42" s="493" customFormat="1" x14ac:dyDescent="0.25">
      <c r="A43" s="546"/>
      <c r="B43" s="547"/>
      <c r="C43" s="552" t="s">
        <v>758</v>
      </c>
      <c r="D43" s="553"/>
      <c r="E43" s="553"/>
      <c r="F43" s="553"/>
      <c r="G43" s="553"/>
      <c r="H43" s="553"/>
      <c r="K43" s="554"/>
      <c r="L43"/>
      <c r="N43"/>
      <c r="P43"/>
      <c r="Q43"/>
      <c r="R43"/>
      <c r="S43"/>
      <c r="T43"/>
      <c r="U43"/>
      <c r="V43"/>
      <c r="W43"/>
      <c r="X43"/>
      <c r="Y43"/>
      <c r="Z43"/>
      <c r="AA43"/>
      <c r="AB43"/>
      <c r="AC43"/>
      <c r="AD43"/>
      <c r="AE43"/>
      <c r="AF43"/>
      <c r="AG43"/>
      <c r="AH43"/>
      <c r="AI43"/>
      <c r="AJ43"/>
      <c r="AK43"/>
      <c r="AL43"/>
      <c r="AM43"/>
      <c r="AN43"/>
      <c r="AO43" s="69"/>
    </row>
    <row r="44" spans="1:42" s="493" customFormat="1" x14ac:dyDescent="0.25">
      <c r="A44" s="546"/>
      <c r="B44" s="547">
        <v>0.25</v>
      </c>
      <c r="C44" s="552" t="s">
        <v>759</v>
      </c>
      <c r="D44" s="555"/>
      <c r="E44" s="555"/>
      <c r="F44" s="555"/>
      <c r="G44" s="555"/>
      <c r="H44" s="555"/>
      <c r="K44" s="554"/>
      <c r="L44"/>
      <c r="N44"/>
      <c r="P44"/>
      <c r="Q44"/>
      <c r="R44"/>
      <c r="S44"/>
      <c r="T44"/>
      <c r="U44"/>
      <c r="V44"/>
      <c r="W44"/>
      <c r="X44"/>
      <c r="Y44"/>
      <c r="Z44"/>
      <c r="AA44"/>
      <c r="AB44"/>
      <c r="AC44"/>
      <c r="AD44"/>
      <c r="AE44"/>
      <c r="AF44"/>
      <c r="AG44"/>
      <c r="AH44"/>
      <c r="AI44"/>
      <c r="AJ44"/>
      <c r="AK44"/>
      <c r="AL44"/>
      <c r="AM44"/>
      <c r="AN44"/>
      <c r="AO44" s="69"/>
    </row>
    <row r="45" spans="1:42" s="493" customFormat="1" x14ac:dyDescent="0.25">
      <c r="A45" s="546"/>
      <c r="B45" s="547"/>
      <c r="C45" s="552" t="s">
        <v>760</v>
      </c>
      <c r="D45" s="555"/>
      <c r="E45" s="555"/>
      <c r="F45" s="555"/>
      <c r="G45" s="555"/>
      <c r="H45" s="555"/>
      <c r="K45" s="551"/>
      <c r="N45"/>
      <c r="O45"/>
      <c r="P45"/>
      <c r="Q45"/>
      <c r="R45"/>
      <c r="S45"/>
      <c r="T45"/>
      <c r="U45"/>
      <c r="V45"/>
      <c r="W45"/>
      <c r="X45"/>
      <c r="Y45"/>
      <c r="Z45"/>
      <c r="AA45"/>
      <c r="AB45"/>
      <c r="AC45"/>
      <c r="AD45"/>
      <c r="AE45"/>
      <c r="AF45"/>
      <c r="AG45"/>
      <c r="AH45"/>
      <c r="AI45"/>
      <c r="AJ45"/>
      <c r="AK45"/>
      <c r="AL45"/>
      <c r="AM45"/>
      <c r="AN45"/>
      <c r="AO45" s="69"/>
    </row>
    <row r="46" spans="1:42" s="493" customFormat="1" x14ac:dyDescent="0.25">
      <c r="A46" s="546"/>
      <c r="B46" s="547"/>
      <c r="C46" s="498"/>
      <c r="D46" s="549"/>
      <c r="E46" s="549"/>
      <c r="F46" s="549"/>
      <c r="G46" s="549"/>
      <c r="H46" s="549"/>
      <c r="K46" s="554"/>
      <c r="N46"/>
      <c r="O46"/>
      <c r="P46"/>
      <c r="Q46"/>
      <c r="R46"/>
      <c r="S46"/>
      <c r="T46"/>
      <c r="U46"/>
      <c r="V46"/>
      <c r="W46"/>
      <c r="X46"/>
      <c r="Y46"/>
      <c r="Z46"/>
      <c r="AA46"/>
      <c r="AB46"/>
      <c r="AC46"/>
      <c r="AD46"/>
      <c r="AE46"/>
      <c r="AF46"/>
      <c r="AG46"/>
      <c r="AH46"/>
      <c r="AI46"/>
      <c r="AJ46"/>
      <c r="AK46"/>
      <c r="AL46"/>
      <c r="AM46"/>
      <c r="AN46"/>
      <c r="AO46" s="69"/>
    </row>
    <row r="47" spans="1:42" s="493" customFormat="1" x14ac:dyDescent="0.25">
      <c r="A47" s="546"/>
      <c r="B47" s="547"/>
      <c r="C47" s="552" t="s">
        <v>761</v>
      </c>
      <c r="D47" s="555"/>
      <c r="E47" s="549"/>
      <c r="F47" s="549"/>
      <c r="G47" s="549"/>
      <c r="H47" s="549"/>
      <c r="K47" s="554"/>
      <c r="N47"/>
      <c r="O47"/>
      <c r="P47"/>
      <c r="Q47"/>
      <c r="R47"/>
      <c r="S47"/>
      <c r="T47"/>
      <c r="U47"/>
      <c r="V47"/>
      <c r="W47"/>
      <c r="X47"/>
      <c r="Y47"/>
      <c r="Z47"/>
      <c r="AA47"/>
      <c r="AB47"/>
      <c r="AC47"/>
      <c r="AD47"/>
      <c r="AE47"/>
      <c r="AF47"/>
      <c r="AG47"/>
      <c r="AH47"/>
      <c r="AI47"/>
      <c r="AJ47"/>
      <c r="AK47"/>
      <c r="AL47"/>
      <c r="AM47"/>
      <c r="AN47"/>
      <c r="AO47" s="69"/>
    </row>
    <row r="48" spans="1:42" s="493" customFormat="1" x14ac:dyDescent="0.25">
      <c r="A48" s="546"/>
      <c r="B48" s="547">
        <v>0.25</v>
      </c>
      <c r="C48" s="552" t="s">
        <v>762</v>
      </c>
      <c r="D48" s="555"/>
      <c r="E48" s="549"/>
      <c r="F48" s="549"/>
      <c r="G48" s="549"/>
      <c r="H48" s="549"/>
      <c r="I48" s="556"/>
      <c r="K48" s="557"/>
      <c r="N48"/>
      <c r="O48"/>
      <c r="P48"/>
      <c r="Q48"/>
      <c r="R48"/>
      <c r="S48"/>
      <c r="T48"/>
      <c r="U48"/>
      <c r="V48"/>
      <c r="W48"/>
      <c r="X48"/>
      <c r="Y48"/>
      <c r="Z48"/>
      <c r="AA48"/>
      <c r="AB48"/>
      <c r="AC48"/>
      <c r="AD48"/>
      <c r="AE48"/>
      <c r="AF48"/>
      <c r="AG48"/>
      <c r="AH48"/>
      <c r="AI48"/>
      <c r="AJ48"/>
      <c r="AK48"/>
      <c r="AL48"/>
      <c r="AM48"/>
      <c r="AN48"/>
      <c r="AO48" s="69"/>
    </row>
    <row r="49" spans="1:41" s="493" customFormat="1" x14ac:dyDescent="0.25">
      <c r="A49" s="546"/>
      <c r="B49" s="547"/>
      <c r="C49" s="552"/>
      <c r="D49" s="555"/>
      <c r="E49" s="549"/>
      <c r="F49" s="549"/>
      <c r="G49" s="549"/>
      <c r="H49" s="549"/>
      <c r="I49" s="556"/>
      <c r="K49" s="557"/>
      <c r="N49"/>
      <c r="O49"/>
      <c r="P49"/>
      <c r="Q49"/>
      <c r="R49"/>
      <c r="S49"/>
      <c r="T49"/>
      <c r="U49"/>
      <c r="V49"/>
      <c r="W49"/>
      <c r="X49"/>
      <c r="Y49"/>
      <c r="Z49"/>
      <c r="AA49"/>
      <c r="AB49"/>
      <c r="AC49"/>
      <c r="AD49"/>
      <c r="AE49"/>
      <c r="AF49"/>
      <c r="AG49"/>
      <c r="AH49"/>
      <c r="AI49"/>
      <c r="AJ49"/>
      <c r="AK49"/>
      <c r="AL49"/>
      <c r="AM49"/>
      <c r="AN49"/>
      <c r="AO49" s="69"/>
    </row>
    <row r="50" spans="1:41" x14ac:dyDescent="0.25">
      <c r="A50" s="558" t="s">
        <v>27</v>
      </c>
      <c r="B50" s="522">
        <v>2.5</v>
      </c>
      <c r="C50" s="523" t="s">
        <v>763</v>
      </c>
      <c r="K50" s="557"/>
      <c r="L50" s="496"/>
      <c r="M50" s="496"/>
      <c r="N50"/>
      <c r="O50"/>
      <c r="P50"/>
      <c r="Q50"/>
      <c r="R50"/>
      <c r="S50"/>
      <c r="T50"/>
      <c r="U50"/>
      <c r="V50"/>
      <c r="W50"/>
      <c r="X50"/>
      <c r="Y50"/>
      <c r="Z50"/>
      <c r="AA50"/>
      <c r="AB50"/>
      <c r="AC50"/>
      <c r="AD50"/>
      <c r="AE50"/>
      <c r="AF50"/>
      <c r="AG50"/>
      <c r="AH50"/>
      <c r="AI50"/>
      <c r="AJ50"/>
      <c r="AK50"/>
      <c r="AL50"/>
      <c r="AM50"/>
      <c r="AN50"/>
      <c r="AO50" s="69"/>
    </row>
    <row r="51" spans="1:41" x14ac:dyDescent="0.25">
      <c r="C51" s="524" t="s">
        <v>764</v>
      </c>
      <c r="K51" s="557"/>
      <c r="L51" s="496"/>
      <c r="M51" s="496"/>
      <c r="N51"/>
      <c r="O51"/>
      <c r="P51"/>
      <c r="Q51"/>
      <c r="R51"/>
      <c r="S51"/>
      <c r="T51"/>
      <c r="U51"/>
      <c r="V51"/>
      <c r="W51"/>
      <c r="X51"/>
      <c r="Y51"/>
      <c r="Z51"/>
      <c r="AA51"/>
      <c r="AB51"/>
      <c r="AC51"/>
      <c r="AD51"/>
      <c r="AE51"/>
      <c r="AF51"/>
      <c r="AG51"/>
      <c r="AH51"/>
      <c r="AI51"/>
      <c r="AJ51"/>
      <c r="AK51"/>
      <c r="AL51"/>
      <c r="AM51"/>
      <c r="AN51"/>
      <c r="AO51" s="69"/>
    </row>
    <row r="52" spans="1:41" x14ac:dyDescent="0.25">
      <c r="C52" s="559">
        <f>(E28^1.5+E29^1.5)^(1/1.5)</f>
        <v>67989.798400642234</v>
      </c>
      <c r="K52" s="560"/>
      <c r="L52" s="496"/>
      <c r="M52" s="496"/>
      <c r="N52"/>
      <c r="O52"/>
      <c r="P52"/>
      <c r="Q52"/>
      <c r="R52"/>
      <c r="S52"/>
      <c r="T52"/>
      <c r="U52"/>
      <c r="V52"/>
      <c r="W52"/>
      <c r="X52"/>
      <c r="Y52"/>
      <c r="Z52"/>
      <c r="AA52"/>
      <c r="AB52"/>
      <c r="AC52"/>
      <c r="AD52"/>
      <c r="AE52"/>
      <c r="AF52"/>
      <c r="AG52"/>
      <c r="AH52"/>
      <c r="AI52"/>
      <c r="AJ52"/>
      <c r="AK52"/>
      <c r="AL52"/>
      <c r="AM52"/>
      <c r="AN52"/>
      <c r="AO52" s="69"/>
    </row>
    <row r="53" spans="1:41" x14ac:dyDescent="0.25">
      <c r="K53" s="551"/>
      <c r="L53" s="496"/>
      <c r="M53" s="496"/>
      <c r="N53"/>
      <c r="O53"/>
      <c r="P53"/>
      <c r="Q53"/>
      <c r="R53"/>
      <c r="S53"/>
      <c r="T53"/>
      <c r="U53"/>
      <c r="V53"/>
      <c r="W53"/>
      <c r="X53"/>
      <c r="Y53"/>
      <c r="Z53"/>
      <c r="AA53"/>
      <c r="AB53"/>
      <c r="AC53"/>
      <c r="AD53"/>
      <c r="AE53"/>
      <c r="AF53"/>
      <c r="AG53"/>
      <c r="AH53"/>
      <c r="AI53"/>
      <c r="AJ53"/>
      <c r="AK53"/>
      <c r="AL53"/>
      <c r="AM53"/>
      <c r="AN53"/>
      <c r="AO53" s="69"/>
    </row>
    <row r="54" spans="1:41" x14ac:dyDescent="0.25">
      <c r="C54" s="524" t="s">
        <v>765</v>
      </c>
      <c r="K54" s="560"/>
      <c r="L54" s="496"/>
      <c r="M54" s="496"/>
      <c r="N54"/>
      <c r="O54"/>
      <c r="P54"/>
      <c r="Q54"/>
      <c r="R54"/>
      <c r="S54"/>
      <c r="T54"/>
      <c r="U54"/>
      <c r="V54"/>
      <c r="W54"/>
      <c r="X54"/>
      <c r="Y54"/>
      <c r="Z54"/>
      <c r="AA54"/>
      <c r="AB54"/>
      <c r="AC54"/>
      <c r="AD54"/>
      <c r="AE54"/>
      <c r="AF54"/>
      <c r="AG54"/>
      <c r="AH54"/>
      <c r="AI54"/>
      <c r="AJ54"/>
      <c r="AK54"/>
      <c r="AL54"/>
      <c r="AM54"/>
      <c r="AN54"/>
      <c r="AO54" s="69"/>
    </row>
    <row r="55" spans="1:41" x14ac:dyDescent="0.25">
      <c r="C55" s="559">
        <f>C52-E30</f>
        <v>27989.798400642234</v>
      </c>
      <c r="K55" s="560"/>
      <c r="L55" s="496"/>
      <c r="M55" s="496"/>
      <c r="N55"/>
      <c r="O55"/>
      <c r="P55"/>
      <c r="Q55"/>
      <c r="R55"/>
      <c r="S55"/>
      <c r="T55"/>
      <c r="U55"/>
      <c r="V55"/>
      <c r="W55"/>
      <c r="X55"/>
      <c r="Y55"/>
      <c r="Z55"/>
      <c r="AA55"/>
      <c r="AB55"/>
      <c r="AC55"/>
      <c r="AD55"/>
      <c r="AE55"/>
      <c r="AF55"/>
      <c r="AG55"/>
      <c r="AH55"/>
      <c r="AI55"/>
      <c r="AJ55"/>
      <c r="AK55"/>
      <c r="AL55"/>
      <c r="AM55"/>
      <c r="AN55"/>
      <c r="AO55" s="69"/>
    </row>
    <row r="56" spans="1:41" x14ac:dyDescent="0.25">
      <c r="K56" s="551"/>
      <c r="L56" s="496"/>
      <c r="M56" s="496"/>
      <c r="N56"/>
      <c r="O56"/>
      <c r="P56"/>
      <c r="Q56"/>
      <c r="R56"/>
      <c r="S56"/>
      <c r="T56"/>
      <c r="U56"/>
      <c r="V56"/>
      <c r="W56"/>
      <c r="X56"/>
      <c r="Y56"/>
      <c r="Z56"/>
      <c r="AA56"/>
      <c r="AB56"/>
      <c r="AC56"/>
      <c r="AD56"/>
      <c r="AE56"/>
      <c r="AF56"/>
      <c r="AG56"/>
      <c r="AH56"/>
      <c r="AI56"/>
      <c r="AJ56"/>
      <c r="AK56"/>
      <c r="AL56"/>
      <c r="AM56"/>
      <c r="AN56"/>
      <c r="AO56" s="69"/>
    </row>
    <row r="57" spans="1:41" x14ac:dyDescent="0.25">
      <c r="C57" s="524" t="s">
        <v>766</v>
      </c>
      <c r="K57" s="496"/>
      <c r="L57" s="496"/>
      <c r="M57" s="496"/>
      <c r="N57"/>
      <c r="O57"/>
      <c r="P57"/>
      <c r="Q57"/>
      <c r="R57"/>
      <c r="S57"/>
      <c r="T57"/>
      <c r="U57"/>
      <c r="V57"/>
      <c r="W57"/>
      <c r="X57"/>
      <c r="Y57"/>
      <c r="Z57"/>
      <c r="AA57"/>
      <c r="AB57"/>
      <c r="AC57"/>
      <c r="AD57"/>
      <c r="AE57"/>
      <c r="AF57"/>
      <c r="AG57"/>
      <c r="AH57"/>
      <c r="AI57"/>
      <c r="AJ57"/>
      <c r="AK57"/>
      <c r="AL57"/>
      <c r="AM57"/>
      <c r="AN57"/>
      <c r="AO57" s="69"/>
    </row>
    <row r="58" spans="1:41" x14ac:dyDescent="0.25">
      <c r="B58" s="522"/>
      <c r="C58" s="559">
        <f>(C55+E27)*1.25</f>
        <v>39674.748000802792</v>
      </c>
      <c r="K58" s="496"/>
      <c r="L58" s="496"/>
      <c r="M58" s="496"/>
      <c r="N58"/>
      <c r="O58"/>
      <c r="P58"/>
      <c r="Q58"/>
      <c r="R58"/>
      <c r="S58"/>
      <c r="T58"/>
      <c r="U58"/>
      <c r="V58"/>
      <c r="W58"/>
      <c r="X58"/>
      <c r="Y58"/>
      <c r="Z58"/>
      <c r="AA58"/>
      <c r="AB58"/>
      <c r="AC58"/>
      <c r="AD58"/>
      <c r="AE58"/>
      <c r="AF58"/>
      <c r="AG58"/>
      <c r="AH58"/>
      <c r="AI58"/>
      <c r="AJ58"/>
      <c r="AK58"/>
      <c r="AL58"/>
      <c r="AM58"/>
      <c r="AN58"/>
      <c r="AO58" s="69"/>
    </row>
    <row r="59" spans="1:41" x14ac:dyDescent="0.25">
      <c r="K59" s="496"/>
      <c r="L59" s="496"/>
      <c r="M59" s="496"/>
      <c r="N59"/>
      <c r="O59"/>
      <c r="P59"/>
      <c r="Q59"/>
      <c r="R59"/>
      <c r="S59"/>
      <c r="T59"/>
      <c r="U59"/>
      <c r="V59"/>
      <c r="W59"/>
      <c r="X59"/>
      <c r="Y59"/>
      <c r="Z59"/>
      <c r="AA59"/>
      <c r="AB59"/>
      <c r="AC59"/>
      <c r="AD59"/>
      <c r="AE59"/>
      <c r="AF59"/>
      <c r="AG59"/>
      <c r="AH59"/>
      <c r="AI59"/>
      <c r="AJ59"/>
      <c r="AK59"/>
      <c r="AL59"/>
      <c r="AM59"/>
      <c r="AN59"/>
      <c r="AO59" s="69"/>
    </row>
    <row r="60" spans="1:41" x14ac:dyDescent="0.25">
      <c r="C60" s="548" t="s">
        <v>756</v>
      </c>
      <c r="K60" s="496"/>
      <c r="L60" s="496"/>
      <c r="M60" s="496"/>
      <c r="N60"/>
      <c r="O60"/>
      <c r="P60"/>
      <c r="Q60"/>
      <c r="R60"/>
      <c r="S60"/>
      <c r="T60"/>
      <c r="U60"/>
      <c r="V60"/>
      <c r="W60"/>
      <c r="X60"/>
      <c r="Y60"/>
      <c r="Z60"/>
      <c r="AA60"/>
      <c r="AB60"/>
      <c r="AC60"/>
      <c r="AD60"/>
      <c r="AE60"/>
      <c r="AF60"/>
      <c r="AG60"/>
      <c r="AH60"/>
      <c r="AI60"/>
      <c r="AJ60"/>
      <c r="AK60"/>
      <c r="AL60"/>
      <c r="AM60"/>
      <c r="AN60"/>
      <c r="AO60" s="69"/>
    </row>
    <row r="61" spans="1:41" x14ac:dyDescent="0.25">
      <c r="C61" s="524" t="s">
        <v>767</v>
      </c>
      <c r="K61" s="496"/>
      <c r="L61" s="496"/>
      <c r="M61" s="496"/>
      <c r="N61"/>
      <c r="O61"/>
      <c r="P61"/>
      <c r="Q61"/>
      <c r="R61"/>
      <c r="S61"/>
      <c r="T61"/>
      <c r="U61"/>
      <c r="V61"/>
      <c r="W61"/>
      <c r="X61"/>
      <c r="Y61"/>
      <c r="Z61"/>
      <c r="AA61"/>
      <c r="AB61"/>
      <c r="AC61"/>
      <c r="AD61"/>
      <c r="AE61"/>
      <c r="AF61"/>
      <c r="AG61"/>
      <c r="AH61"/>
      <c r="AI61"/>
      <c r="AJ61"/>
      <c r="AK61"/>
      <c r="AL61"/>
      <c r="AM61"/>
      <c r="AN61"/>
      <c r="AO61" s="69"/>
    </row>
    <row r="62" spans="1:41" x14ac:dyDescent="0.25">
      <c r="C62" s="559">
        <f>C58+E7+E8</f>
        <v>164674.74800080279</v>
      </c>
      <c r="K62" s="496"/>
      <c r="L62" s="496"/>
      <c r="M62" s="496"/>
      <c r="N62"/>
      <c r="O62"/>
      <c r="P62"/>
      <c r="Q62"/>
      <c r="R62"/>
      <c r="S62"/>
      <c r="T62"/>
      <c r="U62"/>
      <c r="V62"/>
      <c r="W62"/>
      <c r="X62"/>
      <c r="Y62"/>
      <c r="Z62"/>
      <c r="AA62"/>
      <c r="AB62"/>
      <c r="AC62"/>
      <c r="AD62"/>
      <c r="AE62"/>
      <c r="AF62"/>
      <c r="AG62"/>
      <c r="AH62"/>
      <c r="AI62"/>
      <c r="AJ62"/>
      <c r="AK62"/>
      <c r="AL62"/>
      <c r="AM62"/>
      <c r="AN62"/>
      <c r="AO62" s="69"/>
    </row>
    <row r="63" spans="1:41" x14ac:dyDescent="0.25">
      <c r="K63" s="496"/>
      <c r="L63" s="496"/>
      <c r="M63" s="496"/>
      <c r="N63"/>
      <c r="O63"/>
      <c r="P63"/>
      <c r="Q63"/>
      <c r="R63"/>
      <c r="S63"/>
      <c r="T63"/>
      <c r="U63"/>
      <c r="V63"/>
      <c r="W63"/>
      <c r="X63"/>
      <c r="Y63"/>
      <c r="Z63"/>
      <c r="AA63"/>
      <c r="AB63"/>
      <c r="AC63"/>
      <c r="AD63"/>
      <c r="AE63"/>
      <c r="AF63"/>
      <c r="AG63"/>
      <c r="AH63"/>
      <c r="AI63"/>
      <c r="AJ63"/>
      <c r="AK63"/>
      <c r="AL63"/>
      <c r="AM63"/>
      <c r="AN63"/>
      <c r="AO63" s="69"/>
    </row>
    <row r="64" spans="1:41" x14ac:dyDescent="0.25">
      <c r="C64" s="523" t="s">
        <v>768</v>
      </c>
      <c r="K64" s="496"/>
      <c r="L64" s="496"/>
      <c r="M64" s="496"/>
      <c r="N64"/>
      <c r="O64"/>
      <c r="P64"/>
      <c r="Q64"/>
      <c r="R64"/>
      <c r="S64"/>
      <c r="T64"/>
      <c r="U64"/>
      <c r="V64"/>
      <c r="W64"/>
      <c r="X64"/>
      <c r="Y64"/>
      <c r="Z64"/>
      <c r="AA64"/>
      <c r="AB64"/>
      <c r="AC64"/>
      <c r="AD64"/>
      <c r="AE64"/>
      <c r="AF64"/>
      <c r="AG64"/>
      <c r="AH64"/>
      <c r="AI64"/>
      <c r="AJ64"/>
      <c r="AK64"/>
      <c r="AL64"/>
      <c r="AM64"/>
      <c r="AN64"/>
      <c r="AO64" s="69"/>
    </row>
    <row r="65" spans="1:41" x14ac:dyDescent="0.25">
      <c r="C65" s="523" t="s">
        <v>769</v>
      </c>
      <c r="K65" s="496"/>
      <c r="L65" s="496"/>
      <c r="M65" s="496"/>
      <c r="N65"/>
      <c r="O65"/>
      <c r="P65"/>
      <c r="Q65"/>
      <c r="R65"/>
      <c r="S65"/>
      <c r="T65"/>
      <c r="U65"/>
      <c r="V65"/>
      <c r="W65"/>
      <c r="X65"/>
      <c r="Y65"/>
      <c r="Z65"/>
      <c r="AA65"/>
      <c r="AB65"/>
      <c r="AC65"/>
      <c r="AD65"/>
      <c r="AE65"/>
      <c r="AF65"/>
      <c r="AG65"/>
      <c r="AH65"/>
      <c r="AI65"/>
      <c r="AJ65"/>
      <c r="AK65"/>
      <c r="AL65"/>
      <c r="AM65"/>
      <c r="AN65"/>
      <c r="AO65" s="69"/>
    </row>
    <row r="66" spans="1:41" x14ac:dyDescent="0.25">
      <c r="B66" s="522">
        <v>0.25</v>
      </c>
      <c r="C66" s="553" t="s">
        <v>770</v>
      </c>
      <c r="D66" s="561">
        <f>0.125/(1-0.26)-0.02</f>
        <v>0.14891891891891892</v>
      </c>
      <c r="K66" s="496"/>
      <c r="L66" s="496"/>
      <c r="M66" s="496"/>
      <c r="N66"/>
      <c r="O66"/>
      <c r="P66"/>
      <c r="Q66"/>
      <c r="R66"/>
      <c r="S66"/>
      <c r="T66"/>
      <c r="U66"/>
      <c r="V66"/>
      <c r="W66"/>
      <c r="X66"/>
      <c r="Y66"/>
      <c r="Z66"/>
      <c r="AA66"/>
      <c r="AB66"/>
      <c r="AC66"/>
      <c r="AD66"/>
      <c r="AE66"/>
      <c r="AF66"/>
      <c r="AG66"/>
      <c r="AH66"/>
      <c r="AI66"/>
      <c r="AJ66"/>
      <c r="AK66"/>
      <c r="AL66"/>
      <c r="AM66"/>
      <c r="AN66"/>
      <c r="AO66" s="69"/>
    </row>
    <row r="67" spans="1:41" x14ac:dyDescent="0.25">
      <c r="C67" s="562"/>
      <c r="K67" s="496"/>
      <c r="L67" s="496"/>
      <c r="M67" s="496"/>
      <c r="N67"/>
      <c r="O67"/>
      <c r="P67"/>
      <c r="Q67"/>
      <c r="R67"/>
      <c r="S67"/>
      <c r="T67"/>
      <c r="U67"/>
      <c r="V67"/>
      <c r="W67"/>
      <c r="X67"/>
      <c r="Y67"/>
      <c r="Z67"/>
      <c r="AA67"/>
      <c r="AB67"/>
      <c r="AC67"/>
      <c r="AD67"/>
      <c r="AE67"/>
      <c r="AF67"/>
      <c r="AG67"/>
      <c r="AH67"/>
      <c r="AI67"/>
      <c r="AJ67"/>
      <c r="AK67"/>
      <c r="AL67"/>
      <c r="AM67"/>
      <c r="AN67"/>
      <c r="AO67" s="69"/>
    </row>
    <row r="68" spans="1:41" x14ac:dyDescent="0.25">
      <c r="C68" s="524" t="s">
        <v>771</v>
      </c>
      <c r="D68" s="509">
        <v>-1</v>
      </c>
      <c r="E68" s="509">
        <v>-2</v>
      </c>
      <c r="F68" s="509">
        <v>-3</v>
      </c>
      <c r="G68" s="509">
        <v>-4</v>
      </c>
      <c r="K68" s="496"/>
      <c r="L68" s="496"/>
      <c r="M68" s="496"/>
      <c r="N68"/>
      <c r="O68"/>
      <c r="P68"/>
      <c r="Q68"/>
      <c r="R68"/>
      <c r="S68"/>
      <c r="T68"/>
      <c r="U68"/>
      <c r="V68"/>
      <c r="W68"/>
      <c r="X68"/>
      <c r="Y68"/>
      <c r="Z68"/>
      <c r="AA68"/>
      <c r="AB68"/>
      <c r="AC68"/>
      <c r="AD68"/>
      <c r="AE68"/>
      <c r="AF68"/>
      <c r="AG68"/>
      <c r="AH68"/>
      <c r="AI68"/>
      <c r="AJ68"/>
      <c r="AK68"/>
      <c r="AL68"/>
      <c r="AM68"/>
      <c r="AN68"/>
      <c r="AO68" s="69"/>
    </row>
    <row r="69" spans="1:41" x14ac:dyDescent="0.25">
      <c r="D69" s="509">
        <f>D13</f>
        <v>2023</v>
      </c>
      <c r="E69" s="509">
        <f>E13</f>
        <v>2024</v>
      </c>
      <c r="F69" s="509">
        <f>F13</f>
        <v>2025</v>
      </c>
      <c r="G69" s="509">
        <f>G13</f>
        <v>2026</v>
      </c>
      <c r="K69" s="496"/>
      <c r="L69" s="496"/>
      <c r="M69" s="496"/>
      <c r="N69"/>
      <c r="O69"/>
      <c r="P69"/>
      <c r="Q69"/>
      <c r="R69"/>
      <c r="S69"/>
      <c r="T69"/>
      <c r="U69"/>
      <c r="V69"/>
      <c r="W69"/>
      <c r="X69"/>
      <c r="Y69"/>
      <c r="Z69"/>
      <c r="AA69"/>
      <c r="AB69"/>
      <c r="AC69"/>
      <c r="AD69"/>
      <c r="AE69"/>
      <c r="AF69"/>
      <c r="AG69"/>
      <c r="AH69"/>
      <c r="AI69"/>
      <c r="AJ69"/>
      <c r="AK69"/>
      <c r="AL69"/>
      <c r="AM69"/>
      <c r="AN69"/>
      <c r="AO69" s="69"/>
    </row>
    <row r="70" spans="1:41" x14ac:dyDescent="0.25">
      <c r="C70" s="496" t="s">
        <v>772</v>
      </c>
      <c r="D70" s="563">
        <f>$C$62/1.5*2*D14</f>
        <v>219566.33066773706</v>
      </c>
      <c r="E70" s="563">
        <f>$C$62/1.5*2*E14</f>
        <v>109783.16533386853</v>
      </c>
      <c r="F70" s="563">
        <f>$C$62/1.5*2*F14</f>
        <v>54891.582666934264</v>
      </c>
      <c r="G70" s="563">
        <f>$C$62/1.5*2*G14</f>
        <v>0</v>
      </c>
      <c r="K70" s="496"/>
      <c r="L70" s="496"/>
      <c r="M70" s="496"/>
      <c r="N70"/>
      <c r="O70"/>
      <c r="P70"/>
      <c r="Q70"/>
      <c r="R70"/>
      <c r="S70"/>
      <c r="T70"/>
      <c r="U70"/>
      <c r="V70"/>
      <c r="W70"/>
      <c r="X70"/>
      <c r="Y70"/>
      <c r="Z70"/>
      <c r="AA70"/>
      <c r="AB70"/>
      <c r="AC70"/>
      <c r="AD70"/>
      <c r="AE70"/>
      <c r="AF70"/>
      <c r="AG70"/>
      <c r="AH70"/>
      <c r="AI70"/>
      <c r="AJ70"/>
      <c r="AK70"/>
      <c r="AL70"/>
      <c r="AM70"/>
      <c r="AN70"/>
      <c r="AO70" s="69"/>
    </row>
    <row r="71" spans="1:41" x14ac:dyDescent="0.25">
      <c r="C71" s="496" t="s">
        <v>773</v>
      </c>
      <c r="D71" s="563">
        <f>D70*D66</f>
        <v>32697.580594033276</v>
      </c>
      <c r="E71" s="563">
        <f>E70*D66</f>
        <v>16348.790297016638</v>
      </c>
      <c r="F71" s="563">
        <f>F70*D66</f>
        <v>8174.3951485083189</v>
      </c>
      <c r="G71" s="509">
        <v>0</v>
      </c>
      <c r="K71" s="496"/>
      <c r="L71" s="496"/>
      <c r="M71" s="496"/>
      <c r="N71"/>
      <c r="O71"/>
      <c r="P71"/>
      <c r="Q71"/>
      <c r="R71"/>
      <c r="S71"/>
      <c r="T71"/>
      <c r="U71"/>
      <c r="V71"/>
      <c r="W71"/>
      <c r="X71"/>
      <c r="Y71"/>
      <c r="Z71"/>
      <c r="AA71"/>
      <c r="AB71"/>
      <c r="AC71"/>
      <c r="AD71"/>
      <c r="AE71"/>
      <c r="AF71"/>
      <c r="AG71"/>
      <c r="AH71"/>
      <c r="AI71"/>
      <c r="AJ71"/>
      <c r="AK71"/>
      <c r="AL71"/>
      <c r="AM71"/>
      <c r="AN71"/>
      <c r="AO71" s="69"/>
    </row>
    <row r="72" spans="1:41" x14ac:dyDescent="0.25">
      <c r="C72" s="496" t="s">
        <v>774</v>
      </c>
      <c r="D72" s="615">
        <f>(1+D18)^(D68)</f>
        <v>0.95238095238095233</v>
      </c>
      <c r="E72" s="615">
        <f>(1+E18)^(E68)</f>
        <v>0.90875962490037721</v>
      </c>
      <c r="F72" s="615">
        <f>(1+F18)^(F68)</f>
        <v>0.86879267787647374</v>
      </c>
      <c r="G72" s="615">
        <f>(1+G18)^(G68)</f>
        <v>0.83376386549171089</v>
      </c>
      <c r="K72" s="496"/>
      <c r="L72" s="496"/>
      <c r="M72" s="496"/>
      <c r="N72"/>
      <c r="O72"/>
      <c r="P72"/>
      <c r="Q72"/>
      <c r="R72"/>
      <c r="S72"/>
      <c r="T72"/>
      <c r="U72"/>
      <c r="V72"/>
      <c r="W72"/>
      <c r="X72"/>
      <c r="Y72"/>
      <c r="Z72"/>
      <c r="AA72"/>
      <c r="AB72"/>
      <c r="AC72"/>
      <c r="AD72"/>
      <c r="AE72"/>
      <c r="AF72"/>
      <c r="AG72"/>
      <c r="AH72"/>
      <c r="AI72"/>
      <c r="AJ72"/>
      <c r="AK72"/>
      <c r="AL72"/>
      <c r="AM72"/>
      <c r="AN72"/>
      <c r="AO72" s="69"/>
    </row>
    <row r="73" spans="1:41" x14ac:dyDescent="0.25">
      <c r="C73" s="496" t="s">
        <v>775</v>
      </c>
      <c r="D73" s="563">
        <f>D72*D71</f>
        <v>31140.552946698357</v>
      </c>
      <c r="E73" s="563">
        <f>E72*E71</f>
        <v>14857.120537891766</v>
      </c>
      <c r="F73" s="563">
        <f>F72*F71</f>
        <v>7101.8546510929973</v>
      </c>
      <c r="G73" s="509">
        <v>0</v>
      </c>
      <c r="K73" s="496"/>
      <c r="L73" s="496"/>
      <c r="M73" s="496"/>
      <c r="N73"/>
      <c r="O73"/>
      <c r="P73"/>
      <c r="Q73"/>
      <c r="R73"/>
      <c r="S73"/>
      <c r="T73"/>
      <c r="U73"/>
      <c r="V73"/>
      <c r="W73"/>
      <c r="X73"/>
      <c r="Y73"/>
      <c r="Z73"/>
      <c r="AA73"/>
      <c r="AB73"/>
      <c r="AC73"/>
      <c r="AD73"/>
      <c r="AE73"/>
      <c r="AF73"/>
      <c r="AG73"/>
      <c r="AH73"/>
      <c r="AI73"/>
      <c r="AJ73"/>
      <c r="AK73"/>
      <c r="AL73"/>
      <c r="AM73"/>
      <c r="AN73"/>
      <c r="AO73" s="69"/>
    </row>
    <row r="74" spans="1:41" x14ac:dyDescent="0.25">
      <c r="K74" s="496"/>
      <c r="L74" s="496"/>
      <c r="M74" s="496"/>
      <c r="N74"/>
      <c r="O74"/>
      <c r="P74"/>
      <c r="Q74"/>
      <c r="R74"/>
      <c r="S74"/>
      <c r="T74"/>
      <c r="U74"/>
      <c r="V74"/>
      <c r="W74"/>
      <c r="X74"/>
      <c r="Y74"/>
      <c r="Z74"/>
      <c r="AA74"/>
      <c r="AB74"/>
      <c r="AC74"/>
      <c r="AD74"/>
      <c r="AE74"/>
      <c r="AF74"/>
      <c r="AG74"/>
      <c r="AH74"/>
      <c r="AI74"/>
      <c r="AJ74"/>
      <c r="AK74"/>
      <c r="AL74"/>
      <c r="AM74"/>
      <c r="AN74"/>
      <c r="AO74" s="69"/>
    </row>
    <row r="75" spans="1:41" x14ac:dyDescent="0.25">
      <c r="C75" s="524" t="s">
        <v>776</v>
      </c>
      <c r="K75" s="496"/>
      <c r="L75" s="496"/>
      <c r="M75" s="496"/>
      <c r="N75"/>
      <c r="O75"/>
      <c r="P75"/>
      <c r="Q75"/>
      <c r="R75"/>
      <c r="S75"/>
      <c r="T75"/>
      <c r="U75"/>
      <c r="V75"/>
      <c r="W75"/>
      <c r="X75"/>
      <c r="Y75"/>
      <c r="Z75"/>
      <c r="AA75"/>
      <c r="AB75"/>
      <c r="AC75"/>
      <c r="AD75"/>
      <c r="AE75"/>
      <c r="AF75"/>
      <c r="AG75"/>
      <c r="AH75"/>
      <c r="AI75"/>
      <c r="AJ75"/>
      <c r="AK75"/>
      <c r="AL75"/>
      <c r="AM75"/>
      <c r="AN75"/>
      <c r="AO75" s="69"/>
    </row>
    <row r="76" spans="1:41" x14ac:dyDescent="0.25">
      <c r="C76" s="509" t="s">
        <v>279</v>
      </c>
      <c r="D76" s="563">
        <f>SUM(D73:G73)</f>
        <v>53099.528135683118</v>
      </c>
      <c r="K76" s="496"/>
      <c r="L76" s="496"/>
      <c r="M76" s="496"/>
      <c r="N76"/>
      <c r="O76"/>
      <c r="P76"/>
      <c r="Q76"/>
      <c r="R76"/>
      <c r="S76"/>
      <c r="T76"/>
      <c r="U76"/>
      <c r="V76"/>
      <c r="W76"/>
      <c r="X76"/>
      <c r="Y76"/>
      <c r="Z76"/>
      <c r="AA76"/>
      <c r="AB76"/>
      <c r="AC76"/>
      <c r="AD76"/>
      <c r="AE76"/>
      <c r="AF76"/>
      <c r="AG76"/>
      <c r="AH76"/>
      <c r="AI76"/>
      <c r="AJ76"/>
      <c r="AK76"/>
      <c r="AL76"/>
      <c r="AM76"/>
      <c r="AN76"/>
      <c r="AO76" s="69"/>
    </row>
    <row r="77" spans="1:41" x14ac:dyDescent="0.25">
      <c r="K77" s="496"/>
      <c r="L77" s="496"/>
      <c r="M77" s="496"/>
      <c r="N77"/>
      <c r="O77"/>
      <c r="P77"/>
      <c r="Q77"/>
      <c r="R77"/>
      <c r="S77"/>
      <c r="T77"/>
      <c r="U77"/>
      <c r="V77"/>
      <c r="W77"/>
      <c r="X77"/>
      <c r="Y77"/>
      <c r="Z77"/>
      <c r="AA77"/>
      <c r="AB77"/>
      <c r="AC77"/>
      <c r="AD77"/>
      <c r="AE77"/>
      <c r="AF77"/>
      <c r="AG77"/>
      <c r="AH77"/>
      <c r="AI77"/>
      <c r="AJ77"/>
      <c r="AK77"/>
      <c r="AL77"/>
      <c r="AM77"/>
      <c r="AN77"/>
      <c r="AO77" s="69"/>
    </row>
    <row r="78" spans="1:41" x14ac:dyDescent="0.25">
      <c r="A78" s="558" t="s">
        <v>133</v>
      </c>
      <c r="B78" s="522">
        <v>0.75</v>
      </c>
      <c r="C78" s="548" t="s">
        <v>777</v>
      </c>
      <c r="K78" s="496"/>
      <c r="L78" s="496"/>
      <c r="M78" s="496"/>
      <c r="N78"/>
      <c r="O78"/>
      <c r="P78"/>
      <c r="Q78"/>
      <c r="R78"/>
      <c r="S78"/>
      <c r="T78"/>
      <c r="U78"/>
      <c r="V78"/>
      <c r="W78"/>
      <c r="X78"/>
      <c r="Y78"/>
      <c r="Z78"/>
      <c r="AA78"/>
      <c r="AB78"/>
      <c r="AC78"/>
      <c r="AD78"/>
      <c r="AE78"/>
      <c r="AF78"/>
      <c r="AG78"/>
      <c r="AH78"/>
      <c r="AI78"/>
      <c r="AJ78"/>
      <c r="AK78"/>
      <c r="AL78"/>
      <c r="AM78"/>
      <c r="AN78"/>
      <c r="AO78" s="69"/>
    </row>
    <row r="79" spans="1:41" x14ac:dyDescent="0.25">
      <c r="C79" s="509" t="s">
        <v>778</v>
      </c>
      <c r="K79" s="496"/>
      <c r="L79" s="496"/>
      <c r="M79" s="496"/>
      <c r="N79"/>
      <c r="O79"/>
      <c r="P79"/>
      <c r="Q79"/>
      <c r="R79"/>
      <c r="S79"/>
      <c r="T79"/>
      <c r="U79"/>
      <c r="V79"/>
      <c r="W79"/>
      <c r="X79"/>
      <c r="Y79"/>
      <c r="Z79"/>
      <c r="AA79"/>
      <c r="AB79"/>
      <c r="AC79"/>
      <c r="AD79"/>
      <c r="AE79"/>
      <c r="AF79"/>
      <c r="AG79"/>
      <c r="AH79"/>
      <c r="AI79"/>
      <c r="AJ79"/>
      <c r="AK79"/>
      <c r="AL79"/>
      <c r="AM79"/>
      <c r="AN79"/>
      <c r="AO79" s="69"/>
    </row>
    <row r="80" spans="1:41" x14ac:dyDescent="0.25">
      <c r="C80" s="496" t="s">
        <v>779</v>
      </c>
      <c r="K80" s="496"/>
      <c r="L80" s="496"/>
      <c r="M80" s="496"/>
      <c r="N80"/>
      <c r="O80"/>
      <c r="P80"/>
      <c r="Q80"/>
      <c r="R80"/>
      <c r="S80"/>
      <c r="T80"/>
      <c r="U80"/>
      <c r="V80"/>
      <c r="W80"/>
      <c r="X80"/>
      <c r="Y80"/>
      <c r="Z80"/>
      <c r="AA80"/>
      <c r="AB80"/>
      <c r="AC80"/>
      <c r="AD80"/>
      <c r="AE80"/>
      <c r="AF80"/>
      <c r="AG80"/>
      <c r="AH80"/>
      <c r="AI80"/>
      <c r="AJ80"/>
      <c r="AK80"/>
      <c r="AL80"/>
      <c r="AM80"/>
      <c r="AN80"/>
      <c r="AO80" s="69"/>
    </row>
    <row r="81" spans="3:41" x14ac:dyDescent="0.25">
      <c r="C81" s="496" t="s">
        <v>780</v>
      </c>
      <c r="K81" s="496"/>
      <c r="L81" s="496"/>
      <c r="M81" s="496"/>
      <c r="N81"/>
      <c r="O81"/>
      <c r="P81"/>
      <c r="Q81"/>
      <c r="R81"/>
      <c r="S81"/>
      <c r="T81"/>
      <c r="U81"/>
      <c r="V81"/>
      <c r="W81"/>
      <c r="X81"/>
      <c r="Y81"/>
      <c r="Z81"/>
      <c r="AA81"/>
      <c r="AB81"/>
      <c r="AC81"/>
      <c r="AD81"/>
      <c r="AE81"/>
      <c r="AF81"/>
      <c r="AG81"/>
      <c r="AH81"/>
      <c r="AI81"/>
      <c r="AJ81"/>
      <c r="AK81"/>
      <c r="AL81"/>
      <c r="AM81"/>
      <c r="AN81"/>
      <c r="AO81" s="69"/>
    </row>
    <row r="82" spans="3:41" x14ac:dyDescent="0.25">
      <c r="C82" s="524" t="s">
        <v>781</v>
      </c>
      <c r="K82" s="496"/>
      <c r="L82" s="496"/>
      <c r="M82" s="496"/>
      <c r="N82"/>
      <c r="O82"/>
      <c r="P82"/>
      <c r="Q82"/>
      <c r="R82"/>
      <c r="S82"/>
      <c r="T82"/>
      <c r="U82"/>
      <c r="V82"/>
      <c r="W82"/>
      <c r="X82"/>
      <c r="Y82"/>
      <c r="Z82"/>
      <c r="AA82"/>
      <c r="AB82"/>
      <c r="AC82"/>
      <c r="AD82"/>
      <c r="AE82"/>
      <c r="AF82"/>
      <c r="AG82"/>
      <c r="AH82"/>
      <c r="AI82"/>
      <c r="AJ82"/>
      <c r="AK82"/>
      <c r="AL82"/>
      <c r="AM82"/>
      <c r="AN82"/>
      <c r="AO82" s="69"/>
    </row>
    <row r="83" spans="3:41" x14ac:dyDescent="0.25">
      <c r="C83" s="564"/>
      <c r="K83" s="496"/>
      <c r="L83" s="496"/>
      <c r="M83" s="496"/>
      <c r="N83"/>
      <c r="O83"/>
      <c r="P83"/>
      <c r="Q83"/>
      <c r="R83"/>
      <c r="S83"/>
      <c r="T83"/>
      <c r="U83"/>
      <c r="V83"/>
      <c r="W83"/>
      <c r="X83"/>
      <c r="Y83"/>
      <c r="Z83"/>
      <c r="AA83"/>
      <c r="AB83"/>
      <c r="AC83"/>
      <c r="AD83"/>
      <c r="AE83"/>
      <c r="AF83"/>
      <c r="AG83"/>
      <c r="AH83"/>
      <c r="AI83"/>
      <c r="AJ83"/>
      <c r="AK83"/>
      <c r="AL83"/>
      <c r="AM83"/>
      <c r="AN83"/>
      <c r="AO83" s="69"/>
    </row>
    <row r="84" spans="3:41" x14ac:dyDescent="0.25">
      <c r="C84" s="509" t="s">
        <v>777</v>
      </c>
      <c r="K84" s="496"/>
      <c r="L84" s="496"/>
      <c r="M84" s="496"/>
      <c r="N84"/>
      <c r="O84"/>
      <c r="P84"/>
      <c r="Q84"/>
      <c r="R84"/>
      <c r="S84"/>
      <c r="T84"/>
      <c r="U84"/>
      <c r="V84"/>
      <c r="W84"/>
      <c r="X84"/>
      <c r="Y84"/>
      <c r="Z84"/>
      <c r="AA84"/>
      <c r="AB84"/>
      <c r="AC84"/>
      <c r="AD84"/>
      <c r="AE84"/>
      <c r="AF84"/>
      <c r="AG84"/>
      <c r="AH84"/>
      <c r="AI84"/>
      <c r="AJ84"/>
      <c r="AK84"/>
      <c r="AL84"/>
      <c r="AM84"/>
      <c r="AN84"/>
      <c r="AO84" s="69"/>
    </row>
    <row r="85" spans="3:41" x14ac:dyDescent="0.25">
      <c r="C85" s="524" t="s">
        <v>782</v>
      </c>
      <c r="K85" s="496"/>
      <c r="L85" s="496"/>
      <c r="M85" s="496"/>
      <c r="N85"/>
      <c r="O85"/>
      <c r="P85"/>
      <c r="Q85"/>
      <c r="R85"/>
      <c r="S85"/>
      <c r="T85"/>
      <c r="U85"/>
      <c r="V85"/>
      <c r="W85"/>
      <c r="X85"/>
      <c r="Y85"/>
      <c r="Z85"/>
      <c r="AA85"/>
      <c r="AB85"/>
      <c r="AC85"/>
      <c r="AD85"/>
      <c r="AE85"/>
      <c r="AF85"/>
      <c r="AG85"/>
      <c r="AH85"/>
      <c r="AI85"/>
      <c r="AJ85"/>
      <c r="AK85"/>
      <c r="AL85"/>
      <c r="AM85"/>
      <c r="AN85"/>
      <c r="AO85" s="69"/>
    </row>
    <row r="86" spans="3:41" x14ac:dyDescent="0.25">
      <c r="C86" s="509" t="s">
        <v>783</v>
      </c>
      <c r="K86" s="496"/>
      <c r="L86" s="496"/>
      <c r="M86" s="496"/>
      <c r="N86"/>
      <c r="O86"/>
      <c r="P86"/>
      <c r="Q86"/>
      <c r="R86"/>
      <c r="S86"/>
      <c r="T86"/>
      <c r="U86"/>
      <c r="V86"/>
      <c r="W86"/>
      <c r="X86"/>
      <c r="Y86"/>
      <c r="Z86"/>
      <c r="AA86"/>
      <c r="AB86"/>
      <c r="AC86"/>
      <c r="AD86"/>
      <c r="AE86"/>
      <c r="AF86"/>
      <c r="AG86"/>
      <c r="AH86"/>
      <c r="AI86"/>
      <c r="AJ86"/>
      <c r="AK86"/>
      <c r="AL86"/>
      <c r="AM86"/>
      <c r="AN86"/>
      <c r="AO86" s="69"/>
    </row>
    <row r="87" spans="3:41" x14ac:dyDescent="0.25">
      <c r="C87" s="509" t="s">
        <v>784</v>
      </c>
      <c r="K87" s="496"/>
      <c r="L87" s="496"/>
      <c r="M87" s="496"/>
      <c r="N87"/>
      <c r="O87"/>
      <c r="P87"/>
      <c r="Q87"/>
      <c r="R87"/>
      <c r="S87"/>
      <c r="T87"/>
      <c r="U87"/>
      <c r="V87"/>
      <c r="W87"/>
      <c r="X87"/>
      <c r="Y87"/>
      <c r="Z87"/>
      <c r="AA87"/>
      <c r="AB87"/>
      <c r="AC87"/>
      <c r="AD87"/>
      <c r="AE87"/>
      <c r="AF87"/>
      <c r="AG87"/>
      <c r="AH87"/>
      <c r="AI87"/>
      <c r="AJ87"/>
      <c r="AK87"/>
      <c r="AL87"/>
      <c r="AM87"/>
      <c r="AN87"/>
      <c r="AO87" s="69"/>
    </row>
    <row r="88" spans="3:41" x14ac:dyDescent="0.25">
      <c r="K88" s="496"/>
      <c r="L88" s="496"/>
      <c r="M88" s="496"/>
      <c r="N88"/>
      <c r="O88"/>
      <c r="P88"/>
      <c r="Q88"/>
      <c r="R88"/>
      <c r="S88"/>
      <c r="T88"/>
      <c r="U88"/>
      <c r="V88"/>
      <c r="W88"/>
      <c r="X88"/>
      <c r="Y88"/>
      <c r="Z88"/>
      <c r="AA88"/>
      <c r="AB88"/>
      <c r="AC88"/>
      <c r="AD88"/>
      <c r="AE88"/>
      <c r="AF88"/>
      <c r="AG88"/>
      <c r="AH88"/>
      <c r="AI88"/>
      <c r="AJ88"/>
      <c r="AK88"/>
      <c r="AL88"/>
      <c r="AM88"/>
      <c r="AN88"/>
      <c r="AO88" s="69"/>
    </row>
    <row r="89" spans="3:41" x14ac:dyDescent="0.25">
      <c r="C89" s="509" t="s">
        <v>785</v>
      </c>
      <c r="K89" s="496"/>
      <c r="L89" s="496"/>
      <c r="M89" s="496"/>
      <c r="N89"/>
      <c r="O89"/>
      <c r="P89"/>
      <c r="Q89"/>
      <c r="R89"/>
      <c r="S89"/>
      <c r="T89"/>
      <c r="U89"/>
      <c r="V89"/>
      <c r="W89"/>
      <c r="X89"/>
      <c r="Y89"/>
      <c r="Z89"/>
      <c r="AA89"/>
      <c r="AB89"/>
      <c r="AC89"/>
      <c r="AD89"/>
      <c r="AE89"/>
      <c r="AF89"/>
      <c r="AG89"/>
      <c r="AH89"/>
      <c r="AI89"/>
      <c r="AJ89"/>
      <c r="AK89"/>
      <c r="AL89"/>
      <c r="AM89"/>
      <c r="AN89"/>
      <c r="AO89" s="69"/>
    </row>
    <row r="90" spans="3:41" x14ac:dyDescent="0.25">
      <c r="C90" s="509" t="s">
        <v>786</v>
      </c>
      <c r="K90" s="496"/>
      <c r="L90" s="496"/>
      <c r="M90" s="496"/>
      <c r="N90"/>
      <c r="O90"/>
      <c r="P90"/>
      <c r="Q90"/>
      <c r="R90"/>
      <c r="S90"/>
      <c r="T90"/>
      <c r="U90"/>
      <c r="V90"/>
      <c r="W90"/>
      <c r="X90"/>
      <c r="Y90"/>
      <c r="Z90"/>
      <c r="AA90"/>
      <c r="AB90"/>
      <c r="AC90"/>
      <c r="AD90"/>
      <c r="AE90"/>
      <c r="AF90"/>
      <c r="AG90"/>
      <c r="AH90"/>
      <c r="AI90"/>
      <c r="AJ90"/>
      <c r="AK90"/>
      <c r="AL90"/>
      <c r="AM90"/>
      <c r="AN90"/>
      <c r="AO90" s="69"/>
    </row>
    <row r="91" spans="3:41" x14ac:dyDescent="0.25">
      <c r="K91" s="496"/>
      <c r="L91" s="496"/>
      <c r="M91" s="496"/>
      <c r="N91"/>
      <c r="O91"/>
      <c r="P91"/>
      <c r="Q91"/>
      <c r="R91"/>
      <c r="S91"/>
      <c r="T91"/>
      <c r="U91"/>
      <c r="V91"/>
      <c r="W91"/>
      <c r="X91"/>
      <c r="Y91"/>
      <c r="Z91"/>
      <c r="AA91"/>
      <c r="AB91"/>
      <c r="AC91"/>
      <c r="AD91"/>
      <c r="AE91"/>
      <c r="AF91"/>
      <c r="AG91"/>
      <c r="AH91"/>
      <c r="AI91"/>
      <c r="AJ91"/>
      <c r="AK91"/>
      <c r="AL91"/>
      <c r="AM91"/>
      <c r="AN91"/>
      <c r="AO91" s="69"/>
    </row>
    <row r="92" spans="3:41" x14ac:dyDescent="0.25">
      <c r="C92" s="509" t="s">
        <v>787</v>
      </c>
      <c r="K92" s="496"/>
      <c r="L92" s="496"/>
      <c r="M92" s="496"/>
      <c r="N92"/>
      <c r="O92"/>
      <c r="P92"/>
      <c r="Q92"/>
      <c r="R92"/>
      <c r="S92"/>
      <c r="T92"/>
      <c r="U92"/>
      <c r="V92"/>
      <c r="W92"/>
      <c r="X92"/>
      <c r="Y92"/>
      <c r="Z92"/>
      <c r="AA92"/>
      <c r="AB92"/>
      <c r="AC92"/>
      <c r="AD92"/>
      <c r="AE92"/>
      <c r="AF92"/>
      <c r="AG92"/>
      <c r="AH92"/>
      <c r="AI92"/>
      <c r="AJ92"/>
      <c r="AK92"/>
      <c r="AL92"/>
      <c r="AM92"/>
      <c r="AN92"/>
      <c r="AO92" s="69"/>
    </row>
    <row r="93" spans="3:41" x14ac:dyDescent="0.25">
      <c r="C93" s="509" t="s">
        <v>788</v>
      </c>
      <c r="K93" s="496"/>
      <c r="L93" s="496"/>
      <c r="M93" s="496"/>
      <c r="N93"/>
      <c r="O93"/>
      <c r="P93"/>
      <c r="Q93"/>
      <c r="R93"/>
      <c r="S93"/>
      <c r="T93"/>
      <c r="U93"/>
      <c r="V93"/>
      <c r="W93"/>
      <c r="X93"/>
      <c r="Y93"/>
      <c r="Z93"/>
      <c r="AA93"/>
      <c r="AB93"/>
      <c r="AC93"/>
      <c r="AD93"/>
      <c r="AE93"/>
      <c r="AF93"/>
      <c r="AG93"/>
      <c r="AH93"/>
      <c r="AI93"/>
      <c r="AJ93"/>
      <c r="AK93"/>
      <c r="AL93"/>
      <c r="AM93"/>
      <c r="AN93"/>
      <c r="AO93" s="69"/>
    </row>
    <row r="94" spans="3:41" x14ac:dyDescent="0.25">
      <c r="K94" s="496"/>
      <c r="L94" s="496"/>
      <c r="M94" s="496"/>
      <c r="N94"/>
      <c r="O94"/>
      <c r="P94"/>
      <c r="Q94"/>
      <c r="R94"/>
      <c r="S94"/>
      <c r="T94"/>
      <c r="U94"/>
      <c r="V94"/>
      <c r="W94"/>
      <c r="X94"/>
      <c r="Y94"/>
      <c r="Z94"/>
      <c r="AA94"/>
      <c r="AB94"/>
      <c r="AC94"/>
      <c r="AD94"/>
      <c r="AE94"/>
      <c r="AF94"/>
      <c r="AG94"/>
      <c r="AH94"/>
      <c r="AI94"/>
      <c r="AJ94"/>
      <c r="AK94"/>
      <c r="AL94"/>
      <c r="AM94"/>
      <c r="AN94"/>
      <c r="AO94" s="69"/>
    </row>
    <row r="95" spans="3:41" x14ac:dyDescent="0.25">
      <c r="C95" s="548" t="s">
        <v>789</v>
      </c>
      <c r="K95" s="496"/>
      <c r="L95" s="496"/>
      <c r="M95" s="496"/>
      <c r="N95"/>
      <c r="O95"/>
      <c r="P95"/>
      <c r="Q95"/>
      <c r="R95"/>
      <c r="S95"/>
      <c r="T95"/>
      <c r="U95"/>
      <c r="V95"/>
      <c r="W95"/>
      <c r="X95"/>
      <c r="Y95"/>
      <c r="Z95"/>
      <c r="AA95"/>
      <c r="AB95"/>
      <c r="AC95"/>
      <c r="AD95"/>
      <c r="AE95"/>
      <c r="AF95"/>
      <c r="AG95"/>
      <c r="AH95"/>
      <c r="AI95"/>
      <c r="AJ95"/>
      <c r="AK95"/>
      <c r="AL95"/>
      <c r="AM95"/>
      <c r="AN95"/>
      <c r="AO95" s="69"/>
    </row>
    <row r="96" spans="3:41" x14ac:dyDescent="0.25">
      <c r="C96" s="496" t="s">
        <v>790</v>
      </c>
      <c r="K96" s="496"/>
      <c r="L96" s="496"/>
      <c r="M96" s="496"/>
      <c r="N96"/>
      <c r="O96"/>
      <c r="P96"/>
      <c r="Q96"/>
      <c r="R96"/>
      <c r="S96"/>
      <c r="T96"/>
      <c r="U96"/>
      <c r="V96"/>
      <c r="W96"/>
      <c r="X96"/>
      <c r="Y96"/>
      <c r="Z96"/>
      <c r="AA96"/>
      <c r="AB96"/>
      <c r="AC96"/>
      <c r="AD96"/>
      <c r="AE96"/>
      <c r="AF96"/>
      <c r="AG96"/>
      <c r="AH96"/>
      <c r="AI96"/>
      <c r="AJ96"/>
      <c r="AK96"/>
      <c r="AL96"/>
      <c r="AM96"/>
      <c r="AN96"/>
      <c r="AO96" s="69"/>
    </row>
    <row r="97" spans="1:41" x14ac:dyDescent="0.25">
      <c r="C97" s="558" t="s">
        <v>791</v>
      </c>
      <c r="K97" s="496"/>
      <c r="L97" s="496"/>
      <c r="M97" s="496"/>
      <c r="N97"/>
      <c r="O97"/>
      <c r="P97"/>
      <c r="Q97"/>
      <c r="R97"/>
      <c r="S97"/>
      <c r="T97"/>
      <c r="U97"/>
      <c r="V97"/>
      <c r="W97"/>
      <c r="X97"/>
      <c r="Y97"/>
      <c r="Z97"/>
      <c r="AA97"/>
      <c r="AB97"/>
      <c r="AC97"/>
      <c r="AD97"/>
      <c r="AE97"/>
      <c r="AF97"/>
      <c r="AG97"/>
      <c r="AH97"/>
      <c r="AI97"/>
      <c r="AJ97"/>
      <c r="AK97"/>
      <c r="AL97"/>
      <c r="AM97"/>
      <c r="AN97"/>
      <c r="AO97" s="69"/>
    </row>
    <row r="98" spans="1:41" x14ac:dyDescent="0.25">
      <c r="K98" s="496"/>
      <c r="L98" s="496"/>
      <c r="M98" s="496"/>
      <c r="N98"/>
      <c r="O98"/>
      <c r="P98"/>
      <c r="Q98"/>
      <c r="R98"/>
      <c r="S98"/>
      <c r="T98"/>
      <c r="U98"/>
      <c r="V98"/>
      <c r="W98"/>
      <c r="X98"/>
      <c r="Y98"/>
      <c r="Z98"/>
      <c r="AA98"/>
      <c r="AB98"/>
      <c r="AC98"/>
      <c r="AD98"/>
      <c r="AE98"/>
      <c r="AF98"/>
      <c r="AG98"/>
      <c r="AH98"/>
      <c r="AI98"/>
      <c r="AJ98"/>
      <c r="AK98"/>
      <c r="AL98"/>
      <c r="AM98"/>
      <c r="AN98"/>
      <c r="AO98" s="69"/>
    </row>
    <row r="99" spans="1:41" x14ac:dyDescent="0.25">
      <c r="C99" s="565" t="s">
        <v>792</v>
      </c>
      <c r="K99" s="496"/>
      <c r="L99" s="496"/>
      <c r="M99" s="496"/>
      <c r="N99"/>
      <c r="O99"/>
      <c r="P99"/>
      <c r="Q99"/>
      <c r="R99"/>
      <c r="S99"/>
      <c r="T99"/>
      <c r="U99"/>
      <c r="V99"/>
      <c r="W99"/>
      <c r="X99"/>
      <c r="Y99"/>
      <c r="Z99"/>
      <c r="AA99"/>
      <c r="AB99"/>
      <c r="AC99"/>
      <c r="AD99"/>
      <c r="AE99"/>
      <c r="AF99"/>
      <c r="AG99"/>
      <c r="AH99"/>
      <c r="AI99"/>
      <c r="AJ99"/>
      <c r="AK99"/>
      <c r="AL99"/>
      <c r="AM99"/>
      <c r="AN99"/>
      <c r="AO99" s="69"/>
    </row>
    <row r="100" spans="1:41" x14ac:dyDescent="0.25">
      <c r="C100" s="566" t="s">
        <v>793</v>
      </c>
      <c r="K100" s="496"/>
      <c r="L100" s="496"/>
      <c r="M100" s="496"/>
      <c r="N100"/>
      <c r="O100"/>
      <c r="P100"/>
      <c r="Q100"/>
      <c r="R100"/>
      <c r="S100"/>
      <c r="T100"/>
      <c r="U100"/>
      <c r="V100"/>
      <c r="W100"/>
      <c r="X100"/>
      <c r="Y100"/>
      <c r="Z100"/>
      <c r="AA100"/>
      <c r="AB100"/>
      <c r="AC100"/>
      <c r="AD100"/>
      <c r="AE100"/>
      <c r="AF100"/>
      <c r="AG100"/>
      <c r="AH100"/>
      <c r="AI100"/>
      <c r="AJ100"/>
      <c r="AK100"/>
      <c r="AL100"/>
      <c r="AM100"/>
      <c r="AN100"/>
      <c r="AO100" s="69"/>
    </row>
    <row r="101" spans="1:41" x14ac:dyDescent="0.25">
      <c r="C101" s="566" t="s">
        <v>794</v>
      </c>
      <c r="K101" s="496"/>
      <c r="L101" s="496"/>
      <c r="M101" s="496"/>
      <c r="N101"/>
      <c r="O101"/>
      <c r="P101"/>
      <c r="Q101"/>
      <c r="R101"/>
      <c r="S101"/>
      <c r="T101"/>
      <c r="U101"/>
      <c r="V101"/>
      <c r="W101"/>
      <c r="X101"/>
      <c r="Y101"/>
      <c r="Z101"/>
      <c r="AA101"/>
      <c r="AB101"/>
      <c r="AC101"/>
      <c r="AD101"/>
      <c r="AE101"/>
      <c r="AF101"/>
      <c r="AG101"/>
      <c r="AH101"/>
      <c r="AI101"/>
      <c r="AJ101"/>
      <c r="AK101"/>
      <c r="AL101"/>
      <c r="AM101"/>
      <c r="AN101"/>
      <c r="AO101" s="69"/>
    </row>
    <row r="102" spans="1:41" x14ac:dyDescent="0.25">
      <c r="K102" s="496"/>
      <c r="L102" s="496"/>
      <c r="M102" s="496"/>
      <c r="N102"/>
      <c r="O102"/>
      <c r="P102"/>
      <c r="Q102"/>
      <c r="R102"/>
      <c r="S102"/>
      <c r="T102"/>
      <c r="U102"/>
      <c r="V102"/>
      <c r="W102"/>
      <c r="X102"/>
      <c r="Y102"/>
      <c r="Z102"/>
      <c r="AA102"/>
      <c r="AB102"/>
      <c r="AC102"/>
      <c r="AD102"/>
      <c r="AE102"/>
      <c r="AF102"/>
      <c r="AG102"/>
      <c r="AH102"/>
      <c r="AI102"/>
      <c r="AJ102"/>
      <c r="AK102"/>
      <c r="AL102"/>
      <c r="AM102"/>
      <c r="AN102"/>
      <c r="AO102" s="69"/>
    </row>
    <row r="103" spans="1:4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sheetData>
  <mergeCells count="10">
    <mergeCell ref="C27:D27"/>
    <mergeCell ref="C28:D28"/>
    <mergeCell ref="C29:D29"/>
    <mergeCell ref="C30:D30"/>
    <mergeCell ref="C6:E6"/>
    <mergeCell ref="C7:D7"/>
    <mergeCell ref="C8:D8"/>
    <mergeCell ref="C9:D9"/>
    <mergeCell ref="C10:D10"/>
    <mergeCell ref="C26:E26"/>
  </mergeCells>
  <conditionalFormatting sqref="B41 C42 B43:B47">
    <cfRule type="expression" dxfId="40" priority="15">
      <formula>CELL("protect",#REF!)=1</formula>
    </cfRule>
  </conditionalFormatting>
  <conditionalFormatting sqref="B48:B49 I48:I49">
    <cfRule type="expression" dxfId="39" priority="14">
      <formula>CELL("protect",#REF!)=1</formula>
    </cfRule>
  </conditionalFormatting>
  <conditionalFormatting sqref="B50">
    <cfRule type="expression" dxfId="38" priority="13">
      <formula>CELL("protect",B50)=1</formula>
    </cfRule>
  </conditionalFormatting>
  <conditionalFormatting sqref="B58">
    <cfRule type="expression" dxfId="37" priority="11">
      <formula>CELL("protect",B58)=1</formula>
    </cfRule>
  </conditionalFormatting>
  <conditionalFormatting sqref="B66">
    <cfRule type="expression" dxfId="36" priority="1">
      <formula>CELL("protect",B66)=1</formula>
    </cfRule>
  </conditionalFormatting>
  <conditionalFormatting sqref="B78">
    <cfRule type="expression" dxfId="35" priority="5">
      <formula>CELL("protect",B78)=1</formula>
    </cfRule>
  </conditionalFormatting>
  <conditionalFormatting sqref="C46">
    <cfRule type="expression" dxfId="34" priority="16">
      <formula>CELL("protect",#REF!)=1</formula>
    </cfRule>
  </conditionalFormatting>
  <conditionalFormatting sqref="C51">
    <cfRule type="expression" dxfId="33" priority="10">
      <formula>CELL("protect",C51)=1</formula>
    </cfRule>
  </conditionalFormatting>
  <conditionalFormatting sqref="C54">
    <cfRule type="expression" dxfId="32" priority="9">
      <formula>CELL("protect",C54)=1</formula>
    </cfRule>
  </conditionalFormatting>
  <conditionalFormatting sqref="C57">
    <cfRule type="expression" dxfId="31" priority="8">
      <formula>CELL("protect",C57)=1</formula>
    </cfRule>
  </conditionalFormatting>
  <conditionalFormatting sqref="C61">
    <cfRule type="expression" dxfId="30" priority="12">
      <formula>CELL("protect",C61)=1</formula>
    </cfRule>
  </conditionalFormatting>
  <conditionalFormatting sqref="C67:C68">
    <cfRule type="expression" dxfId="29" priority="2">
      <formula>CELL("protect",C67)=1</formula>
    </cfRule>
  </conditionalFormatting>
  <conditionalFormatting sqref="C75">
    <cfRule type="expression" dxfId="28" priority="6">
      <formula>CELL("protect",C75)=1</formula>
    </cfRule>
  </conditionalFormatting>
  <conditionalFormatting sqref="C82">
    <cfRule type="expression" dxfId="27" priority="4">
      <formula>CELL("protect",C82)=1</formula>
    </cfRule>
  </conditionalFormatting>
  <conditionalFormatting sqref="C85">
    <cfRule type="expression" dxfId="26" priority="3">
      <formula>CELL("protect",C85)=1</formula>
    </cfRule>
  </conditionalFormatting>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AA6B-DA54-4848-9936-63515CD4BF7F}">
  <dimension ref="A1:AP156"/>
  <sheetViews>
    <sheetView topLeftCell="A24" workbookViewId="0">
      <selection activeCell="E50" sqref="E50"/>
    </sheetView>
  </sheetViews>
  <sheetFormatPr defaultColWidth="0" defaultRowHeight="15" zeroHeight="1" x14ac:dyDescent="0.25"/>
  <cols>
    <col min="1" max="1" width="4.42578125" style="471" customWidth="1"/>
    <col min="2" max="2" width="10.7109375" style="471" customWidth="1"/>
    <col min="3" max="10" width="12.42578125" style="471" customWidth="1"/>
    <col min="11" max="11" width="14.7109375" style="471" customWidth="1"/>
    <col min="12" max="40" width="10.7109375" style="471" customWidth="1"/>
    <col min="41" max="41" width="10.7109375" style="471" hidden="1" customWidth="1"/>
    <col min="42" max="16384" width="9.140625" style="471" hidden="1"/>
  </cols>
  <sheetData>
    <row r="1" spans="1:42" x14ac:dyDescent="0.25">
      <c r="A1" s="467"/>
      <c r="B1" s="468" t="s">
        <v>500</v>
      </c>
      <c r="C1" s="469"/>
      <c r="D1" s="469"/>
      <c r="E1" s="469"/>
      <c r="F1" s="469"/>
      <c r="G1" s="469"/>
      <c r="H1" s="469"/>
      <c r="I1" s="469"/>
      <c r="J1" s="469"/>
      <c r="K1" s="570"/>
      <c r="L1"/>
      <c r="M1"/>
      <c r="N1"/>
      <c r="O1"/>
      <c r="P1"/>
      <c r="Q1"/>
      <c r="R1"/>
      <c r="S1"/>
      <c r="T1"/>
      <c r="U1"/>
      <c r="V1"/>
      <c r="W1"/>
      <c r="X1"/>
      <c r="Y1"/>
      <c r="Z1"/>
      <c r="AA1"/>
      <c r="AB1"/>
      <c r="AC1"/>
      <c r="AD1"/>
      <c r="AE1"/>
      <c r="AF1"/>
      <c r="AG1"/>
      <c r="AH1"/>
      <c r="AI1"/>
      <c r="AJ1"/>
      <c r="AK1"/>
      <c r="AL1"/>
      <c r="AM1"/>
      <c r="AN1"/>
      <c r="AO1"/>
      <c r="AP1" s="69"/>
    </row>
    <row r="2" spans="1:42" ht="15" customHeight="1" x14ac:dyDescent="0.25">
      <c r="A2" s="467"/>
      <c r="B2" s="468"/>
      <c r="C2" s="469"/>
      <c r="D2" s="469"/>
      <c r="E2" s="469"/>
      <c r="F2" s="469"/>
      <c r="G2" s="469"/>
      <c r="H2" s="469"/>
      <c r="I2" s="469"/>
      <c r="J2" s="469"/>
      <c r="K2" s="570"/>
      <c r="L2"/>
      <c r="M2"/>
      <c r="N2"/>
      <c r="O2"/>
      <c r="P2"/>
      <c r="Q2"/>
      <c r="R2"/>
      <c r="S2"/>
      <c r="T2"/>
      <c r="U2"/>
      <c r="V2"/>
      <c r="W2"/>
      <c r="X2"/>
      <c r="Y2"/>
      <c r="Z2"/>
      <c r="AA2"/>
      <c r="AB2"/>
      <c r="AC2"/>
      <c r="AD2"/>
      <c r="AE2"/>
      <c r="AF2"/>
      <c r="AG2"/>
      <c r="AH2"/>
      <c r="AI2"/>
      <c r="AJ2"/>
      <c r="AK2"/>
      <c r="AL2"/>
      <c r="AM2"/>
      <c r="AN2"/>
      <c r="AO2"/>
      <c r="AP2" s="69"/>
    </row>
    <row r="3" spans="1:42" ht="14.25" customHeight="1" x14ac:dyDescent="0.25">
      <c r="A3" s="580"/>
      <c r="B3" s="572"/>
      <c r="C3" s="581" t="s">
        <v>795</v>
      </c>
      <c r="D3" s="581"/>
      <c r="E3" s="581"/>
      <c r="F3" s="581"/>
      <c r="G3" s="581"/>
      <c r="H3" s="581"/>
      <c r="I3" s="581"/>
      <c r="J3" s="581"/>
      <c r="K3" s="582"/>
      <c r="L3"/>
      <c r="M3"/>
      <c r="N3"/>
      <c r="O3"/>
      <c r="P3"/>
      <c r="Q3"/>
      <c r="R3"/>
      <c r="S3"/>
      <c r="T3"/>
      <c r="U3"/>
      <c r="V3"/>
      <c r="W3"/>
      <c r="X3"/>
      <c r="Y3"/>
      <c r="Z3"/>
      <c r="AA3"/>
      <c r="AB3"/>
      <c r="AC3"/>
      <c r="AD3"/>
      <c r="AE3"/>
      <c r="AF3"/>
      <c r="AG3"/>
      <c r="AH3"/>
      <c r="AI3"/>
      <c r="AJ3"/>
      <c r="AK3"/>
      <c r="AL3"/>
      <c r="AM3"/>
      <c r="AN3"/>
      <c r="AO3"/>
      <c r="AP3" s="69"/>
    </row>
    <row r="4" spans="1:42" ht="14.25" customHeight="1" x14ac:dyDescent="0.25">
      <c r="A4" s="580"/>
      <c r="B4" s="572"/>
      <c r="C4" s="581" t="s">
        <v>796</v>
      </c>
      <c r="D4" s="581"/>
      <c r="E4" s="581"/>
      <c r="F4" s="581"/>
      <c r="G4" s="581"/>
      <c r="H4" s="581"/>
      <c r="I4" s="581"/>
      <c r="J4" s="581"/>
      <c r="K4" s="582"/>
      <c r="L4"/>
      <c r="M4"/>
      <c r="N4"/>
      <c r="O4"/>
      <c r="P4"/>
      <c r="Q4"/>
      <c r="R4"/>
      <c r="S4"/>
      <c r="T4"/>
      <c r="U4"/>
      <c r="V4"/>
      <c r="W4"/>
      <c r="X4"/>
      <c r="Y4"/>
      <c r="Z4"/>
      <c r="AA4"/>
      <c r="AB4"/>
      <c r="AC4"/>
      <c r="AD4"/>
      <c r="AE4"/>
      <c r="AF4"/>
      <c r="AG4"/>
      <c r="AH4"/>
      <c r="AI4"/>
      <c r="AJ4"/>
      <c r="AK4"/>
      <c r="AL4"/>
      <c r="AM4"/>
      <c r="AN4"/>
      <c r="AO4"/>
      <c r="AP4" s="69"/>
    </row>
    <row r="5" spans="1:42" ht="14.25" customHeight="1" x14ac:dyDescent="0.25">
      <c r="A5" s="580"/>
      <c r="B5" s="572"/>
      <c r="C5" s="581"/>
      <c r="D5" s="581"/>
      <c r="E5" s="581"/>
      <c r="F5" s="581"/>
      <c r="G5" s="581"/>
      <c r="H5" s="581"/>
      <c r="I5" s="581"/>
      <c r="J5" s="581"/>
      <c r="K5" s="582"/>
      <c r="L5"/>
      <c r="M5"/>
      <c r="N5"/>
      <c r="O5"/>
      <c r="P5"/>
      <c r="Q5"/>
      <c r="R5"/>
      <c r="S5"/>
      <c r="T5"/>
      <c r="U5"/>
      <c r="V5"/>
      <c r="W5"/>
      <c r="X5"/>
      <c r="Y5"/>
      <c r="Z5"/>
      <c r="AA5"/>
      <c r="AB5"/>
      <c r="AC5"/>
      <c r="AD5"/>
      <c r="AE5"/>
      <c r="AF5"/>
      <c r="AG5"/>
      <c r="AH5"/>
      <c r="AI5"/>
      <c r="AJ5"/>
      <c r="AK5"/>
      <c r="AL5"/>
      <c r="AM5"/>
      <c r="AN5"/>
      <c r="AO5"/>
      <c r="AP5" s="69"/>
    </row>
    <row r="6" spans="1:42" ht="15" customHeight="1" x14ac:dyDescent="0.25">
      <c r="A6" s="580"/>
      <c r="B6" s="572"/>
      <c r="C6" s="583" t="s">
        <v>797</v>
      </c>
      <c r="D6" s="584"/>
      <c r="E6" s="584"/>
      <c r="F6" s="584"/>
      <c r="G6" s="584"/>
      <c r="H6" s="584"/>
      <c r="I6" s="584"/>
      <c r="J6" s="584"/>
      <c r="K6" s="585"/>
      <c r="L6"/>
      <c r="M6"/>
      <c r="N6"/>
      <c r="O6"/>
      <c r="P6"/>
      <c r="Q6"/>
      <c r="R6"/>
      <c r="S6"/>
      <c r="T6"/>
      <c r="U6"/>
      <c r="V6"/>
      <c r="W6"/>
      <c r="X6"/>
      <c r="Y6"/>
      <c r="Z6"/>
      <c r="AA6"/>
      <c r="AB6"/>
      <c r="AC6"/>
      <c r="AD6"/>
      <c r="AE6"/>
      <c r="AF6"/>
      <c r="AG6"/>
      <c r="AH6"/>
      <c r="AI6"/>
      <c r="AJ6"/>
      <c r="AK6"/>
      <c r="AL6"/>
      <c r="AM6"/>
      <c r="AN6"/>
      <c r="AO6"/>
      <c r="AP6" s="69"/>
    </row>
    <row r="7" spans="1:42" x14ac:dyDescent="0.25">
      <c r="A7" s="580"/>
      <c r="B7" s="572"/>
      <c r="C7" s="572" t="s">
        <v>798</v>
      </c>
      <c r="D7" s="584"/>
      <c r="E7" s="584"/>
      <c r="F7" s="584"/>
      <c r="G7" s="584"/>
      <c r="H7" s="584"/>
      <c r="I7" s="584"/>
      <c r="J7" s="584"/>
      <c r="K7" s="585"/>
      <c r="L7"/>
      <c r="M7"/>
      <c r="N7"/>
      <c r="O7"/>
      <c r="P7"/>
      <c r="Q7"/>
      <c r="R7"/>
      <c r="S7"/>
      <c r="T7"/>
      <c r="U7"/>
      <c r="V7"/>
      <c r="W7"/>
      <c r="X7"/>
      <c r="Y7"/>
      <c r="Z7"/>
      <c r="AA7"/>
      <c r="AB7"/>
      <c r="AC7"/>
      <c r="AD7"/>
      <c r="AE7"/>
      <c r="AF7"/>
      <c r="AG7"/>
      <c r="AH7"/>
      <c r="AI7"/>
      <c r="AJ7"/>
      <c r="AK7"/>
      <c r="AL7"/>
      <c r="AM7"/>
      <c r="AN7"/>
      <c r="AO7"/>
      <c r="AP7" s="69"/>
    </row>
    <row r="8" spans="1:42" ht="15" customHeight="1" x14ac:dyDescent="0.25">
      <c r="A8" s="580"/>
      <c r="B8" s="572"/>
      <c r="C8" s="581" t="s">
        <v>799</v>
      </c>
      <c r="D8" s="581"/>
      <c r="E8" s="581"/>
      <c r="F8" s="581"/>
      <c r="G8" s="581"/>
      <c r="H8" s="581"/>
      <c r="I8" s="581"/>
      <c r="J8" s="581"/>
      <c r="K8" s="582"/>
      <c r="L8"/>
      <c r="M8"/>
      <c r="N8"/>
      <c r="O8"/>
      <c r="P8"/>
      <c r="Q8"/>
      <c r="R8"/>
      <c r="S8"/>
      <c r="T8"/>
      <c r="U8"/>
      <c r="V8"/>
      <c r="W8"/>
      <c r="X8"/>
      <c r="Y8"/>
      <c r="Z8"/>
      <c r="AA8"/>
      <c r="AB8"/>
      <c r="AC8"/>
      <c r="AD8"/>
      <c r="AE8"/>
      <c r="AF8"/>
      <c r="AG8"/>
      <c r="AH8"/>
      <c r="AI8"/>
      <c r="AJ8"/>
      <c r="AK8"/>
      <c r="AL8"/>
      <c r="AM8"/>
      <c r="AN8"/>
      <c r="AO8"/>
      <c r="AP8" s="69"/>
    </row>
    <row r="9" spans="1:42" ht="15" customHeight="1" x14ac:dyDescent="0.25">
      <c r="A9" s="580"/>
      <c r="B9" s="572"/>
      <c r="C9" s="572" t="s">
        <v>800</v>
      </c>
      <c r="D9" s="584"/>
      <c r="E9" s="584"/>
      <c r="F9" s="584"/>
      <c r="G9" s="584"/>
      <c r="H9" s="584"/>
      <c r="I9" s="584"/>
      <c r="J9" s="584"/>
      <c r="K9" s="585"/>
      <c r="L9"/>
      <c r="M9"/>
      <c r="N9"/>
      <c r="O9"/>
      <c r="P9"/>
      <c r="Q9"/>
      <c r="R9"/>
      <c r="S9"/>
      <c r="T9"/>
      <c r="U9"/>
      <c r="V9"/>
      <c r="W9"/>
      <c r="X9"/>
      <c r="Y9"/>
      <c r="Z9"/>
      <c r="AA9"/>
      <c r="AB9"/>
      <c r="AC9"/>
      <c r="AD9"/>
      <c r="AE9"/>
      <c r="AF9"/>
      <c r="AG9"/>
      <c r="AH9"/>
      <c r="AI9"/>
      <c r="AJ9"/>
      <c r="AK9"/>
      <c r="AL9"/>
      <c r="AM9"/>
      <c r="AN9"/>
      <c r="AO9"/>
      <c r="AP9" s="69"/>
    </row>
    <row r="10" spans="1:42" x14ac:dyDescent="0.25">
      <c r="A10" s="580"/>
      <c r="B10" s="572"/>
      <c r="C10" s="572" t="s">
        <v>801</v>
      </c>
      <c r="D10" s="584"/>
      <c r="E10" s="572"/>
      <c r="F10" s="572"/>
      <c r="G10" s="572"/>
      <c r="H10" s="584"/>
      <c r="I10" s="584"/>
      <c r="J10" s="584"/>
      <c r="K10" s="585"/>
      <c r="L10"/>
      <c r="M10"/>
      <c r="N10"/>
      <c r="O10"/>
      <c r="P10"/>
      <c r="Q10"/>
      <c r="R10"/>
      <c r="S10"/>
      <c r="T10"/>
      <c r="U10"/>
      <c r="V10"/>
      <c r="W10"/>
      <c r="X10"/>
      <c r="Y10"/>
      <c r="Z10"/>
      <c r="AA10"/>
      <c r="AB10"/>
      <c r="AC10"/>
      <c r="AD10"/>
      <c r="AE10"/>
      <c r="AF10"/>
      <c r="AG10"/>
      <c r="AH10"/>
      <c r="AI10"/>
      <c r="AJ10"/>
      <c r="AK10"/>
      <c r="AL10"/>
      <c r="AM10"/>
      <c r="AN10"/>
      <c r="AO10"/>
      <c r="AP10" s="69"/>
    </row>
    <row r="11" spans="1:42" x14ac:dyDescent="0.25">
      <c r="A11" s="580"/>
      <c r="B11" s="572"/>
      <c r="C11" s="586" t="s">
        <v>802</v>
      </c>
      <c r="D11" s="584"/>
      <c r="E11" s="584"/>
      <c r="F11" s="584"/>
      <c r="G11" s="584"/>
      <c r="H11" s="584"/>
      <c r="I11" s="584"/>
      <c r="J11" s="584"/>
      <c r="K11" s="585"/>
      <c r="L11"/>
      <c r="M11"/>
      <c r="N11"/>
      <c r="O11"/>
      <c r="P11"/>
      <c r="Q11"/>
      <c r="R11"/>
      <c r="S11"/>
      <c r="T11"/>
      <c r="U11"/>
      <c r="V11"/>
      <c r="W11"/>
      <c r="X11"/>
      <c r="Y11"/>
      <c r="Z11"/>
      <c r="AA11"/>
      <c r="AB11"/>
      <c r="AC11"/>
      <c r="AD11"/>
      <c r="AE11"/>
      <c r="AF11"/>
      <c r="AG11"/>
      <c r="AH11"/>
      <c r="AI11"/>
      <c r="AJ11"/>
      <c r="AK11"/>
      <c r="AL11"/>
      <c r="AM11"/>
      <c r="AN11"/>
      <c r="AO11"/>
      <c r="AP11" s="69"/>
    </row>
    <row r="12" spans="1:42" x14ac:dyDescent="0.25">
      <c r="A12" s="580"/>
      <c r="B12" s="572"/>
      <c r="C12" s="586" t="s">
        <v>803</v>
      </c>
      <c r="D12" s="584"/>
      <c r="E12" s="584"/>
      <c r="F12" s="584"/>
      <c r="G12" s="584"/>
      <c r="H12" s="584"/>
      <c r="I12" s="584"/>
      <c r="J12" s="584"/>
      <c r="K12" s="585"/>
      <c r="L12"/>
      <c r="M12"/>
      <c r="N12"/>
      <c r="O12"/>
      <c r="P12"/>
      <c r="Q12"/>
      <c r="R12"/>
      <c r="S12"/>
      <c r="T12"/>
      <c r="U12"/>
      <c r="V12"/>
      <c r="W12"/>
      <c r="X12"/>
      <c r="Y12"/>
      <c r="Z12"/>
      <c r="AA12"/>
      <c r="AB12"/>
      <c r="AC12"/>
      <c r="AD12"/>
      <c r="AE12"/>
      <c r="AF12"/>
      <c r="AG12"/>
      <c r="AH12"/>
      <c r="AI12"/>
      <c r="AJ12"/>
      <c r="AK12"/>
      <c r="AL12"/>
      <c r="AM12"/>
      <c r="AN12"/>
      <c r="AO12"/>
      <c r="AP12" s="69"/>
    </row>
    <row r="13" spans="1:42" x14ac:dyDescent="0.25">
      <c r="A13" s="467"/>
      <c r="B13" s="468"/>
      <c r="C13" s="469"/>
      <c r="D13" s="469"/>
      <c r="E13" s="469"/>
      <c r="F13" s="469"/>
      <c r="G13" s="469"/>
      <c r="H13" s="469"/>
      <c r="I13" s="469"/>
      <c r="J13" s="469"/>
      <c r="K13" s="570"/>
      <c r="L13"/>
      <c r="M13"/>
      <c r="N13"/>
      <c r="O13"/>
      <c r="P13"/>
      <c r="Q13"/>
      <c r="R13"/>
      <c r="S13"/>
      <c r="T13"/>
      <c r="U13"/>
      <c r="V13"/>
      <c r="W13"/>
      <c r="X13"/>
      <c r="Y13"/>
      <c r="Z13"/>
      <c r="AA13"/>
      <c r="AB13"/>
      <c r="AC13"/>
      <c r="AD13"/>
      <c r="AE13"/>
      <c r="AF13"/>
      <c r="AG13"/>
      <c r="AH13"/>
      <c r="AI13"/>
      <c r="AJ13"/>
      <c r="AK13"/>
      <c r="AL13"/>
      <c r="AM13"/>
      <c r="AN13"/>
      <c r="AO13"/>
      <c r="AP13" s="69"/>
    </row>
    <row r="14" spans="1:42" ht="60" x14ac:dyDescent="0.25">
      <c r="A14" s="571"/>
      <c r="B14" s="469"/>
      <c r="C14" s="587" t="s">
        <v>804</v>
      </c>
      <c r="D14" s="587" t="s">
        <v>805</v>
      </c>
      <c r="E14" s="587" t="s">
        <v>806</v>
      </c>
      <c r="F14" s="587" t="s">
        <v>807</v>
      </c>
      <c r="G14" s="587" t="s">
        <v>808</v>
      </c>
      <c r="H14" s="587" t="s">
        <v>809</v>
      </c>
      <c r="I14" s="588" t="s">
        <v>587</v>
      </c>
      <c r="J14" s="589"/>
      <c r="K14" s="570"/>
      <c r="L14"/>
      <c r="M14"/>
      <c r="N14"/>
      <c r="O14"/>
      <c r="P14"/>
      <c r="Q14"/>
      <c r="R14"/>
      <c r="S14"/>
      <c r="T14"/>
      <c r="U14"/>
      <c r="V14"/>
      <c r="W14"/>
      <c r="X14"/>
      <c r="Y14"/>
      <c r="Z14"/>
      <c r="AA14"/>
      <c r="AB14"/>
      <c r="AC14"/>
      <c r="AD14"/>
      <c r="AE14"/>
      <c r="AF14"/>
      <c r="AG14"/>
      <c r="AH14"/>
      <c r="AI14"/>
      <c r="AJ14"/>
      <c r="AK14"/>
      <c r="AL14"/>
      <c r="AM14"/>
      <c r="AN14"/>
      <c r="AO14"/>
      <c r="AP14" s="69"/>
    </row>
    <row r="15" spans="1:42" x14ac:dyDescent="0.25">
      <c r="A15" s="571"/>
      <c r="B15" s="469"/>
      <c r="C15" s="587" t="s">
        <v>810</v>
      </c>
      <c r="D15" s="587">
        <v>12</v>
      </c>
      <c r="E15" s="590">
        <v>250000</v>
      </c>
      <c r="F15" s="590">
        <f>0.4*E15</f>
        <v>100000</v>
      </c>
      <c r="G15" s="590">
        <f>0.41*E15</f>
        <v>102500</v>
      </c>
      <c r="H15" s="590">
        <f>ABS(F15-G15)</f>
        <v>2500</v>
      </c>
      <c r="I15" s="591">
        <v>0.4</v>
      </c>
      <c r="J15" s="592"/>
      <c r="K15" s="570"/>
      <c r="L15"/>
      <c r="M15"/>
      <c r="N15"/>
      <c r="O15"/>
      <c r="P15"/>
      <c r="Q15"/>
      <c r="R15"/>
      <c r="S15"/>
      <c r="T15"/>
      <c r="U15"/>
      <c r="V15"/>
      <c r="W15"/>
      <c r="X15"/>
      <c r="Y15"/>
      <c r="Z15"/>
      <c r="AA15"/>
      <c r="AB15"/>
      <c r="AC15"/>
      <c r="AD15"/>
      <c r="AE15"/>
      <c r="AF15"/>
      <c r="AG15"/>
      <c r="AH15"/>
      <c r="AI15"/>
      <c r="AJ15"/>
      <c r="AK15"/>
      <c r="AL15"/>
      <c r="AM15"/>
      <c r="AN15"/>
      <c r="AO15"/>
      <c r="AP15" s="69"/>
    </row>
    <row r="16" spans="1:42" x14ac:dyDescent="0.25">
      <c r="A16" s="571"/>
      <c r="B16" s="469"/>
      <c r="C16" s="587" t="s">
        <v>811</v>
      </c>
      <c r="D16" s="587">
        <v>12</v>
      </c>
      <c r="E16" s="590">
        <v>2000</v>
      </c>
      <c r="F16" s="590">
        <f>0.1*E16</f>
        <v>200</v>
      </c>
      <c r="G16" s="590">
        <f>0.1*E16</f>
        <v>200</v>
      </c>
      <c r="H16" s="590">
        <f>ABS(F16-G16)</f>
        <v>0</v>
      </c>
      <c r="I16" s="591">
        <v>0.8</v>
      </c>
      <c r="J16" s="592"/>
      <c r="K16" s="570"/>
      <c r="L16"/>
      <c r="M16"/>
      <c r="N16" s="593"/>
      <c r="O16"/>
      <c r="P16"/>
      <c r="Q16"/>
      <c r="R16"/>
      <c r="S16"/>
      <c r="T16"/>
      <c r="U16"/>
      <c r="V16"/>
      <c r="W16"/>
      <c r="X16"/>
      <c r="Y16"/>
      <c r="Z16"/>
      <c r="AA16"/>
      <c r="AB16"/>
      <c r="AC16"/>
      <c r="AD16"/>
      <c r="AE16"/>
      <c r="AF16"/>
      <c r="AG16"/>
      <c r="AH16"/>
      <c r="AI16"/>
      <c r="AJ16"/>
      <c r="AK16"/>
      <c r="AL16"/>
      <c r="AM16"/>
      <c r="AN16"/>
      <c r="AO16"/>
      <c r="AP16" s="69"/>
    </row>
    <row r="17" spans="1:42" x14ac:dyDescent="0.25">
      <c r="A17" s="571"/>
      <c r="B17" s="469"/>
      <c r="C17" s="587" t="s">
        <v>278</v>
      </c>
      <c r="D17" s="587" t="s">
        <v>812</v>
      </c>
      <c r="E17" s="590">
        <v>90000</v>
      </c>
      <c r="F17" s="590">
        <f>0.3*E17</f>
        <v>27000</v>
      </c>
      <c r="G17" s="590">
        <f>0.29*E17</f>
        <v>26100</v>
      </c>
      <c r="H17" s="590">
        <f>ABS(F17-G17)</f>
        <v>900</v>
      </c>
      <c r="I17" s="591">
        <v>0.6</v>
      </c>
      <c r="J17" s="592"/>
      <c r="K17" s="570"/>
      <c r="L17"/>
      <c r="M17"/>
      <c r="N17" s="594"/>
      <c r="O17"/>
      <c r="P17"/>
      <c r="Q17"/>
      <c r="R17"/>
      <c r="S17"/>
      <c r="T17"/>
      <c r="U17"/>
      <c r="V17"/>
      <c r="W17"/>
      <c r="X17"/>
      <c r="Y17"/>
      <c r="Z17"/>
      <c r="AA17"/>
      <c r="AB17"/>
      <c r="AC17"/>
      <c r="AD17"/>
      <c r="AE17"/>
      <c r="AF17"/>
      <c r="AG17"/>
      <c r="AH17"/>
      <c r="AI17"/>
      <c r="AJ17"/>
      <c r="AK17"/>
      <c r="AL17"/>
      <c r="AM17"/>
      <c r="AN17"/>
      <c r="AO17"/>
      <c r="AP17" s="69"/>
    </row>
    <row r="18" spans="1:42" x14ac:dyDescent="0.25">
      <c r="A18" s="571"/>
      <c r="B18" s="469"/>
      <c r="C18" s="587" t="s">
        <v>280</v>
      </c>
      <c r="D18" s="587">
        <v>24</v>
      </c>
      <c r="E18" s="590">
        <v>158000</v>
      </c>
      <c r="F18" s="590">
        <f>0.4*E18</f>
        <v>63200</v>
      </c>
      <c r="G18" s="590">
        <f>0.3*E18</f>
        <v>47400</v>
      </c>
      <c r="H18" s="590">
        <f>ABS(F18-G18)</f>
        <v>15800</v>
      </c>
      <c r="I18" s="591">
        <v>0.3</v>
      </c>
      <c r="J18" s="592"/>
      <c r="K18" s="570"/>
      <c r="L18"/>
      <c r="M18"/>
      <c r="N18" s="595"/>
      <c r="O18"/>
      <c r="P18"/>
      <c r="Q18"/>
      <c r="R18"/>
      <c r="S18"/>
      <c r="T18"/>
      <c r="U18"/>
      <c r="V18"/>
      <c r="W18"/>
      <c r="X18"/>
      <c r="Y18"/>
      <c r="Z18"/>
      <c r="AA18"/>
      <c r="AB18"/>
      <c r="AC18"/>
      <c r="AD18"/>
      <c r="AE18"/>
      <c r="AF18"/>
      <c r="AG18"/>
      <c r="AH18"/>
      <c r="AI18"/>
      <c r="AJ18"/>
      <c r="AK18"/>
      <c r="AL18"/>
      <c r="AM18"/>
      <c r="AN18"/>
      <c r="AO18"/>
      <c r="AP18" s="69"/>
    </row>
    <row r="19" spans="1:42" x14ac:dyDescent="0.25">
      <c r="A19" s="580"/>
      <c r="B19" s="572"/>
      <c r="C19" s="572" t="s">
        <v>813</v>
      </c>
      <c r="D19" s="584"/>
      <c r="E19" s="584"/>
      <c r="F19" s="584"/>
      <c r="G19" s="584"/>
      <c r="H19" s="584"/>
      <c r="I19" s="584"/>
      <c r="J19" s="584"/>
      <c r="K19" s="585"/>
      <c r="L19"/>
      <c r="M19"/>
      <c r="N19" s="595"/>
      <c r="O19"/>
      <c r="P19"/>
      <c r="Q19"/>
      <c r="R19"/>
      <c r="S19"/>
      <c r="T19"/>
      <c r="U19"/>
      <c r="V19"/>
      <c r="W19"/>
      <c r="X19"/>
      <c r="Y19"/>
      <c r="Z19"/>
      <c r="AA19"/>
      <c r="AB19"/>
      <c r="AC19"/>
      <c r="AD19"/>
      <c r="AE19"/>
      <c r="AF19"/>
      <c r="AG19"/>
      <c r="AH19"/>
      <c r="AI19"/>
      <c r="AJ19"/>
      <c r="AK19"/>
      <c r="AL19"/>
      <c r="AM19"/>
      <c r="AN19"/>
      <c r="AO19"/>
      <c r="AP19" s="69"/>
    </row>
    <row r="20" spans="1:42" x14ac:dyDescent="0.25">
      <c r="A20" s="580"/>
      <c r="B20" s="572"/>
      <c r="C20" s="572"/>
      <c r="D20" s="584"/>
      <c r="E20" s="584"/>
      <c r="F20" s="584"/>
      <c r="G20" s="584"/>
      <c r="H20" s="584"/>
      <c r="I20" s="584"/>
      <c r="J20" s="584"/>
      <c r="K20" s="585"/>
      <c r="L20"/>
      <c r="M20"/>
      <c r="N20" s="595"/>
      <c r="O20"/>
      <c r="P20"/>
      <c r="Q20"/>
      <c r="R20"/>
      <c r="S20"/>
      <c r="T20"/>
      <c r="U20"/>
      <c r="V20"/>
      <c r="W20"/>
      <c r="X20"/>
      <c r="Y20"/>
      <c r="Z20"/>
      <c r="AA20"/>
      <c r="AB20"/>
      <c r="AC20"/>
      <c r="AD20"/>
      <c r="AE20"/>
      <c r="AF20"/>
      <c r="AG20"/>
      <c r="AH20"/>
      <c r="AI20"/>
      <c r="AJ20"/>
      <c r="AK20"/>
      <c r="AL20"/>
      <c r="AM20"/>
      <c r="AN20"/>
      <c r="AO20"/>
      <c r="AP20" s="69"/>
    </row>
    <row r="21" spans="1:42" x14ac:dyDescent="0.25">
      <c r="A21" s="580"/>
      <c r="B21" s="572"/>
      <c r="C21" s="596" t="s">
        <v>814</v>
      </c>
      <c r="D21" s="584"/>
      <c r="E21" s="584"/>
      <c r="F21" s="584"/>
      <c r="G21" s="584"/>
      <c r="H21" s="584"/>
      <c r="I21" s="584"/>
      <c r="J21" s="584"/>
      <c r="K21" s="585"/>
      <c r="L21"/>
      <c r="M21"/>
      <c r="N21" s="595"/>
      <c r="O21"/>
      <c r="P21"/>
      <c r="Q21"/>
      <c r="R21"/>
      <c r="S21"/>
      <c r="T21"/>
      <c r="U21"/>
      <c r="V21"/>
      <c r="W21"/>
      <c r="X21"/>
      <c r="Y21"/>
      <c r="Z21"/>
      <c r="AA21"/>
      <c r="AB21"/>
      <c r="AC21"/>
      <c r="AD21"/>
      <c r="AE21"/>
      <c r="AF21"/>
      <c r="AG21"/>
      <c r="AH21"/>
      <c r="AI21"/>
      <c r="AJ21"/>
      <c r="AK21"/>
      <c r="AL21"/>
      <c r="AM21"/>
      <c r="AN21"/>
      <c r="AO21"/>
      <c r="AP21" s="69"/>
    </row>
    <row r="22" spans="1:42" ht="15.75" customHeight="1" x14ac:dyDescent="0.25">
      <c r="A22" s="580"/>
      <c r="B22" s="572"/>
      <c r="C22" s="581" t="s">
        <v>815</v>
      </c>
      <c r="D22" s="581"/>
      <c r="E22" s="581"/>
      <c r="F22" s="581"/>
      <c r="G22" s="581"/>
      <c r="H22" s="581"/>
      <c r="I22" s="581"/>
      <c r="J22" s="581"/>
      <c r="K22" s="582"/>
      <c r="L22"/>
      <c r="M22"/>
      <c r="N22"/>
      <c r="O22"/>
      <c r="P22"/>
      <c r="Q22"/>
      <c r="R22"/>
      <c r="S22"/>
      <c r="T22"/>
      <c r="U22"/>
      <c r="V22"/>
      <c r="W22"/>
      <c r="X22"/>
      <c r="Y22"/>
      <c r="Z22"/>
      <c r="AA22"/>
      <c r="AB22"/>
      <c r="AC22"/>
      <c r="AD22"/>
      <c r="AE22"/>
      <c r="AF22"/>
      <c r="AG22"/>
      <c r="AH22"/>
      <c r="AI22"/>
      <c r="AJ22"/>
      <c r="AK22"/>
      <c r="AL22"/>
      <c r="AM22"/>
      <c r="AN22"/>
      <c r="AO22"/>
      <c r="AP22" s="69"/>
    </row>
    <row r="23" spans="1:42" ht="15" customHeight="1" x14ac:dyDescent="0.25">
      <c r="A23" s="580"/>
      <c r="B23" s="572"/>
      <c r="C23" s="581" t="s">
        <v>816</v>
      </c>
      <c r="D23" s="597"/>
      <c r="E23" s="597"/>
      <c r="F23" s="597"/>
      <c r="G23" s="597"/>
      <c r="H23" s="597"/>
      <c r="I23" s="597"/>
      <c r="J23" s="597"/>
      <c r="K23" s="598"/>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x14ac:dyDescent="0.25">
      <c r="A24" s="580"/>
      <c r="B24" s="572"/>
      <c r="C24" s="581" t="s">
        <v>817</v>
      </c>
      <c r="D24" s="581"/>
      <c r="E24" s="581"/>
      <c r="F24" s="581"/>
      <c r="G24" s="581"/>
      <c r="H24" s="581"/>
      <c r="I24" s="581"/>
      <c r="J24" s="581"/>
      <c r="K24" s="582"/>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x14ac:dyDescent="0.25">
      <c r="A25" s="580"/>
      <c r="B25" s="572"/>
      <c r="C25" s="586" t="s">
        <v>818</v>
      </c>
      <c r="D25" s="581"/>
      <c r="E25" s="581"/>
      <c r="F25" s="581"/>
      <c r="G25" s="581"/>
      <c r="H25" s="581"/>
      <c r="I25" s="581"/>
      <c r="J25" s="581"/>
      <c r="K25" s="582"/>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x14ac:dyDescent="0.25">
      <c r="A26" s="580"/>
      <c r="B26" s="572"/>
      <c r="C26" s="586" t="s">
        <v>819</v>
      </c>
      <c r="D26" s="581"/>
      <c r="E26" s="581"/>
      <c r="F26" s="581"/>
      <c r="G26" s="581"/>
      <c r="H26" s="581"/>
      <c r="I26" s="581"/>
      <c r="J26" s="581"/>
      <c r="K26" s="582"/>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x14ac:dyDescent="0.25">
      <c r="A27" s="580"/>
      <c r="B27" s="572"/>
      <c r="C27" s="581"/>
      <c r="D27" s="581"/>
      <c r="E27" s="581"/>
      <c r="F27" s="581"/>
      <c r="G27" s="581"/>
      <c r="H27" s="581"/>
      <c r="I27" s="581"/>
      <c r="J27" s="581"/>
      <c r="K27" s="582"/>
      <c r="L27"/>
      <c r="M27"/>
      <c r="N27"/>
      <c r="O27"/>
      <c r="P27"/>
      <c r="Q27"/>
      <c r="R27"/>
      <c r="S27"/>
      <c r="T27"/>
      <c r="U27"/>
      <c r="V27"/>
      <c r="W27"/>
      <c r="X27"/>
      <c r="Y27"/>
      <c r="Z27"/>
      <c r="AA27"/>
      <c r="AB27"/>
      <c r="AC27"/>
      <c r="AD27"/>
      <c r="AE27"/>
      <c r="AF27"/>
      <c r="AG27"/>
      <c r="AH27"/>
      <c r="AI27"/>
      <c r="AJ27"/>
      <c r="AK27"/>
      <c r="AL27"/>
      <c r="AM27"/>
      <c r="AN27"/>
      <c r="AO27"/>
      <c r="AP27" s="69"/>
    </row>
    <row r="28" spans="1:42" ht="15" customHeight="1" x14ac:dyDescent="0.25">
      <c r="A28" s="571" t="s">
        <v>13</v>
      </c>
      <c r="B28" s="572" t="s">
        <v>25</v>
      </c>
      <c r="C28" s="581" t="s">
        <v>820</v>
      </c>
      <c r="D28" s="581"/>
      <c r="E28" s="581"/>
      <c r="F28" s="581"/>
      <c r="G28" s="581"/>
      <c r="H28" s="581"/>
      <c r="I28" s="581"/>
      <c r="J28" s="581"/>
      <c r="K28" s="582"/>
      <c r="L28"/>
      <c r="M28"/>
      <c r="N28"/>
      <c r="O28"/>
      <c r="P28"/>
      <c r="Q28"/>
      <c r="R28"/>
      <c r="S28"/>
      <c r="T28"/>
      <c r="U28"/>
      <c r="V28"/>
      <c r="W28"/>
      <c r="X28"/>
      <c r="Y28"/>
      <c r="Z28"/>
      <c r="AA28"/>
      <c r="AB28"/>
      <c r="AC28"/>
      <c r="AD28"/>
      <c r="AE28"/>
      <c r="AF28"/>
      <c r="AG28"/>
      <c r="AH28"/>
      <c r="AI28"/>
      <c r="AJ28"/>
      <c r="AK28"/>
      <c r="AL28"/>
      <c r="AM28"/>
      <c r="AN28"/>
      <c r="AO28"/>
      <c r="AP28" s="69"/>
    </row>
    <row r="29" spans="1:42" ht="15" customHeight="1" x14ac:dyDescent="0.25">
      <c r="A29" s="571"/>
      <c r="B29" s="572"/>
      <c r="C29" s="581" t="s">
        <v>821</v>
      </c>
      <c r="D29" s="581"/>
      <c r="E29" s="581"/>
      <c r="F29" s="581"/>
      <c r="G29" s="581"/>
      <c r="H29" s="581"/>
      <c r="I29" s="581"/>
      <c r="J29" s="581"/>
      <c r="K29" s="582"/>
      <c r="L29"/>
      <c r="M29"/>
      <c r="N29"/>
      <c r="O29"/>
      <c r="P29"/>
      <c r="Q29"/>
      <c r="R29"/>
      <c r="S29"/>
      <c r="T29"/>
      <c r="U29"/>
      <c r="V29"/>
      <c r="W29"/>
      <c r="X29"/>
      <c r="Y29"/>
      <c r="Z29"/>
      <c r="AA29"/>
      <c r="AB29"/>
      <c r="AC29"/>
      <c r="AD29"/>
      <c r="AE29"/>
      <c r="AF29"/>
      <c r="AG29"/>
      <c r="AH29"/>
      <c r="AI29"/>
      <c r="AJ29"/>
      <c r="AK29"/>
      <c r="AL29"/>
      <c r="AM29"/>
      <c r="AN29"/>
      <c r="AO29"/>
      <c r="AP29" s="69"/>
    </row>
    <row r="30" spans="1:42" x14ac:dyDescent="0.25">
      <c r="A30" s="467"/>
      <c r="B30" s="468"/>
      <c r="C30" s="469"/>
      <c r="D30" s="469"/>
      <c r="E30" s="469"/>
      <c r="F30" s="469"/>
      <c r="G30" s="469"/>
      <c r="H30" s="469"/>
      <c r="I30" s="469"/>
      <c r="J30" s="469"/>
      <c r="K30" s="570"/>
      <c r="L30"/>
      <c r="M30"/>
      <c r="N30"/>
      <c r="O30"/>
      <c r="P30"/>
      <c r="Q30"/>
      <c r="R30"/>
      <c r="S30"/>
      <c r="T30"/>
      <c r="U30"/>
      <c r="V30"/>
      <c r="W30"/>
      <c r="X30"/>
      <c r="Y30"/>
      <c r="Z30"/>
      <c r="AA30"/>
      <c r="AB30"/>
      <c r="AC30"/>
      <c r="AD30"/>
      <c r="AE30"/>
      <c r="AF30"/>
      <c r="AG30"/>
      <c r="AH30"/>
      <c r="AI30"/>
      <c r="AJ30"/>
      <c r="AK30"/>
      <c r="AL30"/>
      <c r="AM30"/>
      <c r="AN30"/>
      <c r="AO30"/>
      <c r="AP30" s="69"/>
    </row>
    <row r="31" spans="1:42" ht="15" customHeight="1" x14ac:dyDescent="0.25">
      <c r="A31" s="571" t="s">
        <v>27</v>
      </c>
      <c r="B31" s="572" t="s">
        <v>73</v>
      </c>
      <c r="C31" s="581" t="s">
        <v>822</v>
      </c>
      <c r="D31" s="581"/>
      <c r="E31" s="581"/>
      <c r="F31" s="581"/>
      <c r="G31" s="581"/>
      <c r="H31" s="581"/>
      <c r="I31" s="581"/>
      <c r="J31" s="581"/>
      <c r="K31" s="582"/>
      <c r="L31"/>
      <c r="M31"/>
      <c r="N31"/>
      <c r="O31"/>
      <c r="P31"/>
      <c r="Q31"/>
      <c r="R31"/>
      <c r="S31"/>
      <c r="T31"/>
      <c r="U31"/>
      <c r="V31"/>
      <c r="W31"/>
      <c r="X31"/>
      <c r="Y31"/>
      <c r="Z31"/>
      <c r="AA31"/>
      <c r="AB31"/>
      <c r="AC31"/>
      <c r="AD31"/>
      <c r="AE31"/>
      <c r="AF31"/>
      <c r="AG31"/>
      <c r="AH31"/>
      <c r="AI31"/>
      <c r="AJ31"/>
      <c r="AK31"/>
      <c r="AL31"/>
      <c r="AM31"/>
      <c r="AN31"/>
      <c r="AO31"/>
      <c r="AP31" s="69"/>
    </row>
    <row r="32" spans="1:42" ht="15.75" thickBot="1" x14ac:dyDescent="0.3">
      <c r="A32" s="467"/>
      <c r="B32" s="468"/>
      <c r="C32" s="469"/>
      <c r="D32" s="469"/>
      <c r="E32" s="469"/>
      <c r="F32" s="469"/>
      <c r="G32" s="469"/>
      <c r="H32" s="469"/>
      <c r="I32" s="469"/>
      <c r="J32" s="469"/>
      <c r="K32" s="570"/>
      <c r="L32"/>
      <c r="M32"/>
      <c r="N32"/>
      <c r="O32"/>
      <c r="P32"/>
      <c r="Q32"/>
      <c r="R32"/>
      <c r="S32"/>
      <c r="T32"/>
      <c r="U32"/>
      <c r="V32"/>
      <c r="W32"/>
      <c r="X32"/>
      <c r="Y32"/>
      <c r="Z32"/>
      <c r="AA32"/>
      <c r="AB32"/>
      <c r="AC32"/>
      <c r="AD32"/>
      <c r="AE32"/>
      <c r="AF32"/>
      <c r="AG32"/>
      <c r="AH32"/>
      <c r="AI32"/>
      <c r="AJ32"/>
      <c r="AK32"/>
      <c r="AL32"/>
      <c r="AM32"/>
      <c r="AN32"/>
      <c r="AO32"/>
      <c r="AP32" s="69"/>
    </row>
    <row r="33" spans="1:42" ht="15.75" thickBot="1" x14ac:dyDescent="0.3">
      <c r="A33" s="489" t="s">
        <v>137</v>
      </c>
      <c r="B33" s="490"/>
      <c r="C33" s="491"/>
      <c r="D33" s="491"/>
      <c r="E33" s="491"/>
      <c r="F33" s="491"/>
      <c r="G33" s="517"/>
      <c r="H33" s="517"/>
      <c r="I33" s="517"/>
      <c r="J33" s="517"/>
      <c r="K33" s="573"/>
      <c r="L33"/>
      <c r="M33"/>
      <c r="N33"/>
      <c r="O33"/>
      <c r="P33"/>
      <c r="Q33"/>
      <c r="R33"/>
      <c r="S33"/>
      <c r="T33"/>
      <c r="U33"/>
      <c r="V33"/>
      <c r="W33"/>
      <c r="X33"/>
      <c r="Y33"/>
      <c r="Z33"/>
      <c r="AA33"/>
      <c r="AB33"/>
      <c r="AC33"/>
      <c r="AD33"/>
      <c r="AE33"/>
      <c r="AF33"/>
      <c r="AG33"/>
      <c r="AH33"/>
      <c r="AI33"/>
      <c r="AJ33"/>
      <c r="AK33"/>
      <c r="AL33"/>
      <c r="AM33"/>
      <c r="AN33"/>
      <c r="AO33"/>
      <c r="AP33" s="69"/>
    </row>
    <row r="34" spans="1:42"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x14ac:dyDescent="0.25">
      <c r="A36" s="496" t="s">
        <v>13</v>
      </c>
      <c r="B36" s="522">
        <v>0.5</v>
      </c>
      <c r="C36" s="548" t="s">
        <v>823</v>
      </c>
      <c r="D36" s="496"/>
      <c r="E36" s="496"/>
      <c r="F36" s="496"/>
      <c r="G36" s="496"/>
      <c r="H36" s="496"/>
      <c r="I36" s="496"/>
      <c r="J36" s="496"/>
      <c r="K36" s="496"/>
      <c r="L36" s="496"/>
      <c r="M36" s="496"/>
      <c r="N36" s="496"/>
      <c r="O36" s="496"/>
      <c r="P36" s="496"/>
      <c r="Q36" s="496"/>
      <c r="R36" s="496"/>
      <c r="S36"/>
      <c r="T36"/>
      <c r="U36"/>
      <c r="V36"/>
      <c r="W36"/>
      <c r="X36"/>
      <c r="Y36"/>
      <c r="Z36"/>
      <c r="AA36"/>
      <c r="AB36"/>
      <c r="AC36"/>
      <c r="AD36"/>
      <c r="AE36"/>
      <c r="AF36"/>
      <c r="AG36"/>
      <c r="AH36"/>
      <c r="AI36"/>
      <c r="AJ36"/>
      <c r="AK36"/>
      <c r="AL36"/>
      <c r="AM36"/>
      <c r="AN36"/>
      <c r="AO36" s="69"/>
    </row>
    <row r="37" spans="1:42" x14ac:dyDescent="0.25">
      <c r="A37" s="496"/>
      <c r="B37" s="496"/>
      <c r="C37" s="496"/>
      <c r="D37" s="496"/>
      <c r="E37" s="575">
        <v>0.25</v>
      </c>
      <c r="F37" s="575">
        <v>0.25</v>
      </c>
      <c r="G37" s="496"/>
      <c r="H37" s="496"/>
      <c r="I37" s="496"/>
      <c r="J37" s="496"/>
      <c r="K37" s="496"/>
      <c r="L37" s="496"/>
      <c r="M37" s="496"/>
      <c r="N37" s="496"/>
      <c r="O37" s="496"/>
      <c r="P37" s="496"/>
      <c r="Q37" s="496"/>
      <c r="R37" s="496"/>
      <c r="S37"/>
      <c r="T37"/>
      <c r="U37"/>
      <c r="V37"/>
      <c r="W37"/>
      <c r="X37"/>
      <c r="Y37"/>
      <c r="Z37"/>
      <c r="AA37"/>
      <c r="AB37"/>
      <c r="AC37"/>
      <c r="AD37"/>
      <c r="AE37"/>
      <c r="AF37"/>
      <c r="AG37"/>
      <c r="AH37"/>
      <c r="AI37"/>
      <c r="AJ37"/>
      <c r="AK37"/>
      <c r="AL37"/>
      <c r="AM37"/>
      <c r="AN37"/>
      <c r="AO37" s="69"/>
    </row>
    <row r="38" spans="1:42" ht="45" x14ac:dyDescent="0.25">
      <c r="A38" s="496"/>
      <c r="B38" s="496"/>
      <c r="C38" s="599" t="str">
        <f>C14</f>
        <v>Portfolio &amp; Group</v>
      </c>
      <c r="D38" s="599" t="str">
        <f>I14</f>
        <v>Expected Loss Ratio</v>
      </c>
      <c r="E38" s="599" t="s">
        <v>824</v>
      </c>
      <c r="F38" s="599" t="s">
        <v>825</v>
      </c>
      <c r="G38" s="496"/>
      <c r="H38" s="496"/>
      <c r="I38" s="496"/>
      <c r="J38" s="496"/>
      <c r="K38" s="496"/>
      <c r="L38" s="496"/>
      <c r="M38" s="496"/>
      <c r="N38" s="496"/>
      <c r="O38" s="496"/>
      <c r="P38" s="496"/>
      <c r="Q38" s="496"/>
      <c r="R38" s="496"/>
      <c r="S38"/>
      <c r="T38"/>
      <c r="U38"/>
      <c r="V38"/>
      <c r="W38"/>
      <c r="X38"/>
      <c r="Y38"/>
      <c r="Z38"/>
      <c r="AA38"/>
      <c r="AB38"/>
      <c r="AC38"/>
      <c r="AD38"/>
      <c r="AE38"/>
      <c r="AF38"/>
      <c r="AG38"/>
      <c r="AH38"/>
      <c r="AI38"/>
      <c r="AJ38"/>
      <c r="AK38"/>
      <c r="AL38"/>
      <c r="AM38"/>
      <c r="AN38"/>
      <c r="AO38" s="69"/>
    </row>
    <row r="39" spans="1:42" x14ac:dyDescent="0.25">
      <c r="A39" s="496"/>
      <c r="B39" s="496"/>
      <c r="C39" s="496" t="str">
        <f>C15</f>
        <v>A-1</v>
      </c>
      <c r="D39" s="600">
        <f>I15</f>
        <v>0.4</v>
      </c>
      <c r="E39" s="601">
        <f>D39*E15</f>
        <v>100000</v>
      </c>
      <c r="F39" s="602">
        <f>E39*$F$43/$E$43</f>
        <v>12315.270935960591</v>
      </c>
      <c r="G39" s="496"/>
      <c r="H39" s="496"/>
      <c r="I39" s="496"/>
      <c r="J39" s="496"/>
      <c r="K39" s="496"/>
      <c r="L39" s="496"/>
      <c r="M39" s="496"/>
      <c r="N39" s="496"/>
      <c r="O39" s="496"/>
      <c r="P39" s="496"/>
      <c r="Q39" s="496"/>
      <c r="R39" s="496"/>
      <c r="S39"/>
      <c r="T39"/>
      <c r="U39"/>
      <c r="V39"/>
      <c r="W39"/>
      <c r="X39"/>
      <c r="Y39"/>
      <c r="Z39"/>
      <c r="AA39"/>
      <c r="AB39"/>
      <c r="AC39"/>
      <c r="AD39"/>
      <c r="AE39"/>
      <c r="AF39"/>
      <c r="AG39"/>
      <c r="AH39"/>
      <c r="AI39"/>
      <c r="AJ39"/>
      <c r="AK39"/>
      <c r="AL39"/>
      <c r="AM39"/>
      <c r="AN39"/>
      <c r="AO39" s="69"/>
    </row>
    <row r="40" spans="1:42" x14ac:dyDescent="0.25">
      <c r="A40" s="496"/>
      <c r="B40" s="496"/>
      <c r="C40" s="496" t="str">
        <f>C16</f>
        <v>A-2</v>
      </c>
      <c r="D40" s="600">
        <f>I16</f>
        <v>0.8</v>
      </c>
      <c r="E40" s="601">
        <f>D40*E16</f>
        <v>1600</v>
      </c>
      <c r="F40" s="602">
        <f>E40*$F$43/$E$43</f>
        <v>197.04433497536945</v>
      </c>
      <c r="G40" s="496"/>
      <c r="H40" s="496"/>
      <c r="I40" s="496"/>
      <c r="J40" s="496"/>
      <c r="K40" s="496"/>
      <c r="L40" s="496"/>
      <c r="M40" s="496"/>
      <c r="N40" s="496"/>
      <c r="O40" s="496"/>
      <c r="P40" s="496"/>
      <c r="Q40" s="496"/>
      <c r="R40" s="496"/>
      <c r="S40"/>
      <c r="T40"/>
      <c r="U40"/>
      <c r="V40"/>
      <c r="W40"/>
      <c r="X40"/>
      <c r="Y40"/>
      <c r="Z40"/>
      <c r="AA40"/>
      <c r="AB40"/>
      <c r="AC40"/>
      <c r="AD40"/>
      <c r="AE40"/>
      <c r="AF40"/>
      <c r="AG40"/>
      <c r="AH40"/>
      <c r="AI40"/>
      <c r="AJ40"/>
      <c r="AK40"/>
      <c r="AL40"/>
      <c r="AM40"/>
      <c r="AN40"/>
      <c r="AO40" s="69"/>
    </row>
    <row r="41" spans="1:42" x14ac:dyDescent="0.25">
      <c r="A41" s="496"/>
      <c r="B41" s="496"/>
      <c r="C41" s="496" t="str">
        <f>C17</f>
        <v>B</v>
      </c>
      <c r="D41" s="600">
        <f>I17</f>
        <v>0.6</v>
      </c>
      <c r="E41" s="601">
        <f>D41*E17</f>
        <v>54000</v>
      </c>
      <c r="F41" s="602">
        <f>E41*$F$43/$E$43</f>
        <v>6650.2463054187192</v>
      </c>
      <c r="G41" s="496"/>
      <c r="H41" s="496"/>
      <c r="I41" s="496"/>
      <c r="J41" s="496"/>
      <c r="K41" s="496"/>
      <c r="L41" s="496"/>
      <c r="M41" s="496"/>
      <c r="N41" s="496"/>
      <c r="O41" s="496"/>
      <c r="P41" s="496"/>
      <c r="Q41" s="496"/>
      <c r="R41" s="496"/>
      <c r="S41"/>
      <c r="T41"/>
      <c r="U41"/>
      <c r="V41"/>
      <c r="W41"/>
      <c r="X41"/>
      <c r="Y41"/>
      <c r="Z41"/>
      <c r="AA41"/>
      <c r="AB41"/>
      <c r="AC41"/>
      <c r="AD41"/>
      <c r="AE41"/>
      <c r="AF41"/>
      <c r="AG41"/>
      <c r="AH41"/>
      <c r="AI41"/>
      <c r="AJ41"/>
      <c r="AK41"/>
      <c r="AL41"/>
      <c r="AM41"/>
      <c r="AN41"/>
      <c r="AO41" s="69"/>
    </row>
    <row r="42" spans="1:42" x14ac:dyDescent="0.25">
      <c r="A42" s="496"/>
      <c r="B42" s="496"/>
      <c r="C42" s="496" t="str">
        <f>C18</f>
        <v>C</v>
      </c>
      <c r="D42" s="600">
        <f>I18</f>
        <v>0.3</v>
      </c>
      <c r="E42" s="601">
        <f>D42*E18</f>
        <v>47400</v>
      </c>
      <c r="F42" s="602">
        <f>E42*$F$43/$E$43</f>
        <v>5837.4384236453197</v>
      </c>
      <c r="G42" s="496"/>
      <c r="H42" s="496"/>
      <c r="I42" s="496"/>
      <c r="J42" s="496"/>
      <c r="K42" s="496"/>
      <c r="L42" s="496"/>
      <c r="M42" s="496"/>
      <c r="N42" s="496"/>
      <c r="O42" s="496"/>
      <c r="P42" s="496"/>
      <c r="Q42" s="496"/>
      <c r="R42" s="496"/>
      <c r="S42"/>
      <c r="T42"/>
      <c r="U42"/>
      <c r="V42"/>
      <c r="W42"/>
      <c r="X42"/>
      <c r="Y42"/>
      <c r="Z42"/>
      <c r="AA42"/>
      <c r="AB42"/>
      <c r="AC42"/>
      <c r="AD42"/>
      <c r="AE42"/>
      <c r="AF42"/>
      <c r="AG42"/>
      <c r="AH42"/>
      <c r="AI42"/>
      <c r="AJ42"/>
      <c r="AK42"/>
      <c r="AL42"/>
      <c r="AM42"/>
      <c r="AN42"/>
      <c r="AO42" s="69"/>
    </row>
    <row r="43" spans="1:42" x14ac:dyDescent="0.25">
      <c r="A43" s="496"/>
      <c r="B43" s="496"/>
      <c r="C43" s="496"/>
      <c r="D43" s="496"/>
      <c r="E43" s="601">
        <f>SUM(E39:E42)</f>
        <v>203000</v>
      </c>
      <c r="F43" s="602">
        <v>25000</v>
      </c>
      <c r="G43" s="496"/>
      <c r="H43" s="496"/>
      <c r="I43" s="496"/>
      <c r="J43" s="496"/>
      <c r="K43" s="496"/>
      <c r="L43" s="496"/>
      <c r="M43" s="496"/>
      <c r="N43" s="496"/>
      <c r="O43" s="496"/>
      <c r="P43" s="496"/>
      <c r="Q43" s="496"/>
      <c r="R43" s="496"/>
      <c r="S43"/>
      <c r="T43"/>
      <c r="U43"/>
      <c r="V43"/>
      <c r="W43"/>
      <c r="X43"/>
      <c r="Y43"/>
      <c r="Z43"/>
      <c r="AA43"/>
      <c r="AB43"/>
      <c r="AC43"/>
      <c r="AD43"/>
      <c r="AE43"/>
      <c r="AF43"/>
      <c r="AG43"/>
      <c r="AH43"/>
      <c r="AI43"/>
      <c r="AJ43"/>
      <c r="AK43"/>
      <c r="AL43"/>
      <c r="AM43"/>
      <c r="AN43"/>
      <c r="AO43" s="69"/>
    </row>
    <row r="44" spans="1:42" x14ac:dyDescent="0.25">
      <c r="A44" s="574"/>
      <c r="B44" s="496"/>
      <c r="C44" s="496"/>
      <c r="D44" s="496"/>
      <c r="E44" s="496"/>
      <c r="F44" s="496"/>
      <c r="G44" s="496"/>
      <c r="H44" s="496"/>
      <c r="I44" s="496"/>
      <c r="J44" s="574"/>
      <c r="K44" s="574"/>
      <c r="L44" s="574"/>
      <c r="M44" s="496"/>
      <c r="N44" s="496"/>
      <c r="O44" s="496"/>
      <c r="P44" s="496"/>
      <c r="Q44" s="496"/>
      <c r="R44" s="496"/>
      <c r="S44"/>
      <c r="T44"/>
      <c r="U44"/>
      <c r="V44"/>
      <c r="W44"/>
      <c r="X44"/>
      <c r="Y44"/>
      <c r="Z44"/>
      <c r="AA44"/>
      <c r="AB44"/>
      <c r="AC44"/>
      <c r="AD44"/>
      <c r="AE44"/>
      <c r="AF44"/>
      <c r="AG44"/>
      <c r="AH44"/>
      <c r="AI44"/>
      <c r="AJ44"/>
      <c r="AK44"/>
      <c r="AL44"/>
      <c r="AM44"/>
      <c r="AN44"/>
      <c r="AO44" s="69"/>
    </row>
    <row r="45" spans="1:42" x14ac:dyDescent="0.25">
      <c r="A45" s="496" t="s">
        <v>27</v>
      </c>
      <c r="B45" s="522">
        <v>2</v>
      </c>
      <c r="C45" s="548" t="s">
        <v>823</v>
      </c>
      <c r="D45" s="574"/>
      <c r="E45" s="574"/>
      <c r="F45" s="574"/>
      <c r="G45" s="574"/>
      <c r="H45" s="574"/>
      <c r="I45" s="574"/>
      <c r="J45" s="574"/>
      <c r="K45" s="574"/>
      <c r="L45" s="574"/>
      <c r="M45" s="496"/>
      <c r="N45" s="496"/>
      <c r="O45" s="496"/>
      <c r="P45" s="496"/>
      <c r="Q45" s="496"/>
      <c r="R45" s="496"/>
      <c r="S45"/>
      <c r="T45"/>
      <c r="U45"/>
      <c r="V45"/>
      <c r="W45"/>
      <c r="X45"/>
      <c r="Y45"/>
      <c r="Z45"/>
      <c r="AA45"/>
      <c r="AB45"/>
      <c r="AC45"/>
      <c r="AD45"/>
      <c r="AE45"/>
      <c r="AF45"/>
      <c r="AG45"/>
      <c r="AH45"/>
      <c r="AI45"/>
      <c r="AJ45"/>
      <c r="AK45"/>
      <c r="AL45"/>
      <c r="AM45"/>
      <c r="AN45"/>
      <c r="AO45" s="69"/>
    </row>
    <row r="46" spans="1:42" x14ac:dyDescent="0.25">
      <c r="A46" s="574"/>
      <c r="B46" s="576"/>
      <c r="C46" s="574"/>
      <c r="D46" s="574"/>
      <c r="E46" s="574"/>
      <c r="F46" s="574"/>
      <c r="G46" s="574"/>
      <c r="H46" s="574"/>
      <c r="I46" s="574"/>
      <c r="J46" s="574"/>
      <c r="K46" s="574"/>
      <c r="L46" s="574"/>
      <c r="M46" s="496"/>
      <c r="N46" s="496"/>
      <c r="O46" s="496"/>
      <c r="P46" s="496"/>
      <c r="Q46" s="496"/>
      <c r="R46" s="496"/>
      <c r="S46"/>
      <c r="T46"/>
      <c r="U46"/>
      <c r="V46"/>
      <c r="W46"/>
      <c r="X46"/>
      <c r="Y46"/>
      <c r="Z46"/>
      <c r="AA46"/>
      <c r="AB46"/>
      <c r="AC46"/>
      <c r="AD46"/>
      <c r="AE46"/>
      <c r="AF46"/>
      <c r="AG46"/>
      <c r="AH46"/>
      <c r="AI46"/>
      <c r="AJ46"/>
      <c r="AK46"/>
      <c r="AL46"/>
      <c r="AM46"/>
      <c r="AN46"/>
      <c r="AO46" s="69"/>
    </row>
    <row r="47" spans="1:42" ht="30" x14ac:dyDescent="0.25">
      <c r="A47" s="574"/>
      <c r="B47" s="576"/>
      <c r="C47" s="599" t="s">
        <v>804</v>
      </c>
      <c r="D47" s="574"/>
      <c r="E47" s="574" t="s">
        <v>826</v>
      </c>
      <c r="F47" s="574"/>
      <c r="G47" s="574" t="s">
        <v>827</v>
      </c>
      <c r="H47" s="574"/>
      <c r="I47" s="574"/>
      <c r="J47" s="574"/>
      <c r="K47" s="574"/>
      <c r="L47" s="574"/>
      <c r="M47" s="496"/>
      <c r="N47" s="496"/>
      <c r="O47" s="496"/>
      <c r="P47" s="496"/>
      <c r="Q47" s="496"/>
      <c r="R47" s="496"/>
      <c r="S47"/>
      <c r="T47"/>
      <c r="U47"/>
      <c r="V47"/>
      <c r="W47"/>
      <c r="X47"/>
      <c r="Y47"/>
      <c r="Z47"/>
      <c r="AA47"/>
      <c r="AB47"/>
      <c r="AC47"/>
      <c r="AD47"/>
      <c r="AE47"/>
      <c r="AF47"/>
      <c r="AG47"/>
      <c r="AH47"/>
      <c r="AI47"/>
      <c r="AJ47"/>
      <c r="AK47"/>
      <c r="AL47"/>
      <c r="AM47"/>
      <c r="AN47"/>
      <c r="AO47" s="69"/>
    </row>
    <row r="48" spans="1:42" x14ac:dyDescent="0.25">
      <c r="A48" s="574"/>
      <c r="B48" s="576"/>
      <c r="C48" s="496" t="str">
        <f>C39</f>
        <v>A-1</v>
      </c>
      <c r="D48" s="579">
        <v>0.25</v>
      </c>
      <c r="E48" s="574" t="s">
        <v>215</v>
      </c>
      <c r="F48" s="579">
        <v>0.25</v>
      </c>
      <c r="G48" s="603" t="s">
        <v>828</v>
      </c>
      <c r="H48" s="574"/>
      <c r="I48" s="574"/>
      <c r="J48" s="574"/>
      <c r="K48" s="574"/>
      <c r="L48" s="574"/>
      <c r="M48" s="496"/>
      <c r="N48" s="496"/>
      <c r="O48" s="496"/>
      <c r="P48" s="496"/>
      <c r="Q48" s="496"/>
      <c r="R48" s="496"/>
      <c r="S48"/>
      <c r="T48"/>
      <c r="U48"/>
      <c r="V48"/>
      <c r="W48"/>
      <c r="X48"/>
      <c r="Y48"/>
      <c r="Z48"/>
      <c r="AA48"/>
      <c r="AB48"/>
      <c r="AC48"/>
      <c r="AD48"/>
      <c r="AE48"/>
      <c r="AF48"/>
      <c r="AG48"/>
      <c r="AH48"/>
      <c r="AI48"/>
      <c r="AJ48"/>
      <c r="AK48"/>
      <c r="AL48"/>
      <c r="AM48"/>
      <c r="AN48"/>
      <c r="AO48" s="69"/>
    </row>
    <row r="49" spans="1:41" x14ac:dyDescent="0.25">
      <c r="A49" s="574"/>
      <c r="B49" s="576"/>
      <c r="C49" s="496" t="str">
        <f>C40</f>
        <v>A-2</v>
      </c>
      <c r="D49" s="579">
        <v>0.25</v>
      </c>
      <c r="E49" s="574" t="s">
        <v>215</v>
      </c>
      <c r="F49" s="579">
        <v>0.25</v>
      </c>
      <c r="G49" s="603" t="s">
        <v>829</v>
      </c>
      <c r="H49" s="574"/>
      <c r="I49" s="574"/>
      <c r="J49" s="574"/>
      <c r="K49" s="574"/>
      <c r="L49" s="574"/>
      <c r="M49" s="496"/>
      <c r="N49" s="496"/>
      <c r="O49" s="496"/>
      <c r="P49" s="496"/>
      <c r="Q49" s="496"/>
      <c r="R49" s="496"/>
      <c r="S49"/>
      <c r="T49"/>
      <c r="U49"/>
      <c r="V49"/>
      <c r="W49"/>
      <c r="X49"/>
      <c r="Y49"/>
      <c r="Z49"/>
      <c r="AA49"/>
      <c r="AB49"/>
      <c r="AC49"/>
      <c r="AD49"/>
      <c r="AE49"/>
      <c r="AF49"/>
      <c r="AG49"/>
      <c r="AH49"/>
      <c r="AI49"/>
      <c r="AJ49"/>
      <c r="AK49"/>
      <c r="AL49"/>
      <c r="AM49"/>
      <c r="AN49"/>
      <c r="AO49" s="69"/>
    </row>
    <row r="50" spans="1:41" x14ac:dyDescent="0.25">
      <c r="A50" s="574"/>
      <c r="B50" s="576"/>
      <c r="C50" s="496" t="s">
        <v>278</v>
      </c>
      <c r="D50" s="579">
        <v>0.25</v>
      </c>
      <c r="E50" s="574" t="s">
        <v>215</v>
      </c>
      <c r="F50" s="579">
        <v>0.25</v>
      </c>
      <c r="G50" s="574" t="s">
        <v>830</v>
      </c>
      <c r="H50" s="574"/>
      <c r="I50" s="574"/>
      <c r="J50" s="574"/>
      <c r="K50" s="574"/>
      <c r="L50" s="574"/>
      <c r="M50" s="496"/>
      <c r="N50" s="496"/>
      <c r="O50" s="496"/>
      <c r="P50" s="496"/>
      <c r="Q50" s="496"/>
      <c r="R50" s="496"/>
      <c r="S50"/>
      <c r="T50"/>
      <c r="U50"/>
      <c r="V50"/>
      <c r="W50"/>
      <c r="X50"/>
      <c r="Y50"/>
      <c r="Z50"/>
      <c r="AA50"/>
      <c r="AB50"/>
      <c r="AC50"/>
      <c r="AD50"/>
      <c r="AE50"/>
      <c r="AF50"/>
      <c r="AG50"/>
      <c r="AH50"/>
      <c r="AI50"/>
      <c r="AJ50"/>
      <c r="AK50"/>
      <c r="AL50"/>
      <c r="AM50"/>
      <c r="AN50"/>
      <c r="AO50" s="69"/>
    </row>
    <row r="51" spans="1:41" x14ac:dyDescent="0.25">
      <c r="A51" s="574"/>
      <c r="B51" s="578"/>
      <c r="C51" s="496" t="s">
        <v>280</v>
      </c>
      <c r="D51" s="579">
        <v>0.25</v>
      </c>
      <c r="E51" s="574" t="s">
        <v>209</v>
      </c>
      <c r="F51" s="579">
        <v>0.25</v>
      </c>
      <c r="G51" s="574" t="s">
        <v>831</v>
      </c>
      <c r="H51" s="574"/>
      <c r="I51" s="574"/>
      <c r="J51" s="574"/>
      <c r="K51" s="574"/>
      <c r="L51" s="574"/>
      <c r="M51" s="496"/>
      <c r="N51" s="496"/>
      <c r="O51" s="496"/>
      <c r="P51" s="496"/>
      <c r="Q51" s="496"/>
      <c r="R51" s="496"/>
      <c r="S51"/>
      <c r="T51"/>
      <c r="U51"/>
      <c r="V51"/>
      <c r="W51"/>
      <c r="X51"/>
      <c r="Y51"/>
      <c r="Z51"/>
      <c r="AA51"/>
      <c r="AB51"/>
      <c r="AC51"/>
      <c r="AD51"/>
      <c r="AE51"/>
      <c r="AF51"/>
      <c r="AG51"/>
      <c r="AH51"/>
      <c r="AI51"/>
      <c r="AJ51"/>
      <c r="AK51"/>
      <c r="AL51"/>
      <c r="AM51"/>
      <c r="AN51"/>
      <c r="AO51" s="69"/>
    </row>
    <row r="52" spans="1:41" x14ac:dyDescent="0.25">
      <c r="A52" s="574"/>
      <c r="B52" s="576"/>
      <c r="C52" s="577"/>
      <c r="D52" s="574"/>
      <c r="E52" s="574"/>
      <c r="F52" s="574"/>
      <c r="G52" s="574"/>
      <c r="H52" s="574"/>
      <c r="I52" s="574"/>
      <c r="J52" s="574"/>
      <c r="K52" s="574"/>
      <c r="L52" s="574"/>
      <c r="M52" s="496"/>
      <c r="N52" s="496"/>
      <c r="O52" s="496"/>
      <c r="P52" s="496"/>
      <c r="Q52" s="496"/>
      <c r="R52" s="496"/>
      <c r="S52"/>
      <c r="T52"/>
      <c r="U52"/>
      <c r="V52"/>
      <c r="W52"/>
      <c r="X52"/>
      <c r="Y52"/>
      <c r="Z52"/>
      <c r="AA52"/>
      <c r="AB52"/>
      <c r="AC52"/>
      <c r="AD52"/>
      <c r="AE52"/>
      <c r="AF52"/>
      <c r="AG52"/>
      <c r="AH52"/>
      <c r="AI52"/>
      <c r="AJ52"/>
      <c r="AK52"/>
      <c r="AL52"/>
      <c r="AM52"/>
      <c r="AN52"/>
      <c r="AO52" s="69"/>
    </row>
    <row r="53" spans="1:41" x14ac:dyDescent="0.25">
      <c r="A53" s="574"/>
      <c r="B53" s="576"/>
      <c r="C53" s="579"/>
      <c r="D53" s="574"/>
      <c r="E53" s="574"/>
      <c r="F53" s="574"/>
      <c r="G53" s="574"/>
      <c r="H53" s="574"/>
      <c r="I53" s="574"/>
      <c r="J53" s="574"/>
      <c r="K53" s="574"/>
      <c r="L53" s="574"/>
      <c r="M53" s="496"/>
      <c r="N53" s="496"/>
      <c r="O53" s="496"/>
      <c r="P53" s="496"/>
      <c r="Q53" s="496"/>
      <c r="R53" s="496"/>
      <c r="S53"/>
      <c r="T53"/>
      <c r="U53"/>
      <c r="V53"/>
      <c r="W53"/>
      <c r="X53"/>
      <c r="Y53"/>
      <c r="Z53"/>
      <c r="AA53"/>
      <c r="AB53"/>
      <c r="AC53"/>
      <c r="AD53"/>
      <c r="AE53"/>
      <c r="AF53"/>
      <c r="AG53"/>
      <c r="AH53"/>
      <c r="AI53"/>
      <c r="AJ53"/>
      <c r="AK53"/>
      <c r="AL53"/>
      <c r="AM53"/>
      <c r="AN53"/>
      <c r="AO53" s="69"/>
    </row>
    <row r="54" spans="1:4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x14ac:dyDescent="0.2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x14ac:dyDescent="0.2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x14ac:dyDescent="0.2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x14ac:dyDescent="0.2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x14ac:dyDescent="0.2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x14ac:dyDescent="0.2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x14ac:dyDescent="0.2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x14ac:dyDescent="0.2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x14ac:dyDescent="0.2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x14ac:dyDescent="0.2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x14ac:dyDescent="0.2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x14ac:dyDescent="0.2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x14ac:dyDescent="0.2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x14ac:dyDescent="0.2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x14ac:dyDescent="0.2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x14ac:dyDescent="0.2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x14ac:dyDescent="0.2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x14ac:dyDescent="0.2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x14ac:dyDescent="0.2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x14ac:dyDescent="0.2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x14ac:dyDescent="0.2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x14ac:dyDescent="0.2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x14ac:dyDescent="0.2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conditionalFormatting sqref="B36">
    <cfRule type="expression" dxfId="25" priority="2">
      <formula>CELL("protect",B36)=1</formula>
    </cfRule>
  </conditionalFormatting>
  <conditionalFormatting sqref="B45">
    <cfRule type="expression" dxfId="24" priority="1">
      <formula>CELL("protect",B45)=1</formula>
    </cfRule>
  </conditionalFormatting>
  <conditionalFormatting sqref="B51">
    <cfRule type="expression" dxfId="23" priority="4">
      <formula>CELL("protect",B51)=1</formula>
    </cfRule>
  </conditionalFormatting>
  <conditionalFormatting sqref="C53">
    <cfRule type="expression" dxfId="22" priority="3">
      <formula>CELL("protect",C53)=1</formula>
    </cfRule>
  </conditionalFormatting>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D110D-A4D0-4AB3-8D59-75DD09C59B52}">
  <dimension ref="A1:N87"/>
  <sheetViews>
    <sheetView topLeftCell="A67" zoomScale="80" zoomScaleNormal="80" workbookViewId="0">
      <selection activeCell="B70" sqref="B70"/>
    </sheetView>
  </sheetViews>
  <sheetFormatPr defaultColWidth="11.42578125" defaultRowHeight="15" x14ac:dyDescent="0.25"/>
  <cols>
    <col min="1" max="1" width="3.140625" style="493" customWidth="1"/>
    <col min="2" max="2" width="12.28515625" style="497" customWidth="1"/>
    <col min="3" max="3" width="55.42578125" style="493" customWidth="1"/>
    <col min="4" max="4" width="21.42578125" style="493" customWidth="1"/>
    <col min="5" max="5" width="29.28515625" style="493" customWidth="1"/>
    <col min="6" max="14" width="10.7109375" style="493" customWidth="1"/>
    <col min="15" max="16384" width="11.42578125" style="496"/>
  </cols>
  <sheetData>
    <row r="1" spans="1:14" x14ac:dyDescent="0.25">
      <c r="A1" s="467"/>
      <c r="B1" s="468" t="s">
        <v>202</v>
      </c>
      <c r="C1" s="469"/>
      <c r="D1" s="469"/>
      <c r="E1" s="469"/>
      <c r="F1" s="470"/>
    </row>
    <row r="2" spans="1:14" x14ac:dyDescent="0.25">
      <c r="A2" s="467"/>
      <c r="B2" s="468"/>
      <c r="C2" s="469"/>
      <c r="D2" s="469"/>
      <c r="E2" s="469"/>
      <c r="F2" s="470"/>
    </row>
    <row r="3" spans="1:14" ht="36" customHeight="1" x14ac:dyDescent="0.25">
      <c r="A3" s="472"/>
      <c r="B3" s="473"/>
      <c r="C3" s="741" t="s">
        <v>832</v>
      </c>
      <c r="D3" s="722"/>
      <c r="E3" s="722"/>
      <c r="F3" s="723"/>
      <c r="H3" s="622"/>
    </row>
    <row r="4" spans="1:14" ht="11.45" customHeight="1" x14ac:dyDescent="0.25">
      <c r="A4" s="527"/>
      <c r="B4" s="473"/>
      <c r="C4" s="623"/>
      <c r="D4" s="616"/>
      <c r="E4" s="616"/>
      <c r="F4" s="617"/>
      <c r="H4" s="502"/>
    </row>
    <row r="5" spans="1:14" x14ac:dyDescent="0.25">
      <c r="A5" s="474"/>
      <c r="B5" s="605"/>
      <c r="C5" s="606" t="s">
        <v>833</v>
      </c>
      <c r="D5" s="607"/>
      <c r="E5" s="607"/>
      <c r="F5" s="470"/>
      <c r="H5" s="485"/>
    </row>
    <row r="6" spans="1:14" x14ac:dyDescent="0.25">
      <c r="A6" s="474"/>
      <c r="B6" s="605"/>
      <c r="C6" s="624" t="s">
        <v>834</v>
      </c>
      <c r="D6" s="625" t="s">
        <v>835</v>
      </c>
      <c r="E6" s="625" t="s">
        <v>95</v>
      </c>
      <c r="F6" s="470"/>
      <c r="H6" s="485"/>
    </row>
    <row r="7" spans="1:14" x14ac:dyDescent="0.25">
      <c r="A7" s="474"/>
      <c r="B7" s="605"/>
      <c r="C7" s="626" t="s">
        <v>836</v>
      </c>
      <c r="D7" s="475">
        <v>2500</v>
      </c>
      <c r="E7" s="475" t="s">
        <v>837</v>
      </c>
      <c r="F7" s="470"/>
      <c r="H7" s="485"/>
    </row>
    <row r="8" spans="1:14" x14ac:dyDescent="0.25">
      <c r="A8" s="474"/>
      <c r="B8" s="605"/>
      <c r="C8" s="626" t="s">
        <v>838</v>
      </c>
      <c r="D8" s="475">
        <v>250</v>
      </c>
      <c r="E8" s="475" t="s">
        <v>839</v>
      </c>
      <c r="F8" s="470"/>
      <c r="H8" s="485"/>
    </row>
    <row r="9" spans="1:14" x14ac:dyDescent="0.25">
      <c r="A9" s="474"/>
      <c r="B9" s="605"/>
      <c r="C9" s="626" t="s">
        <v>840</v>
      </c>
      <c r="D9" s="475">
        <v>70</v>
      </c>
      <c r="E9" s="475" t="s">
        <v>841</v>
      </c>
      <c r="F9" s="470"/>
    </row>
    <row r="10" spans="1:14" x14ac:dyDescent="0.25">
      <c r="A10" s="474"/>
      <c r="B10" s="605"/>
      <c r="C10" s="626" t="s">
        <v>842</v>
      </c>
      <c r="D10" s="475">
        <v>40</v>
      </c>
      <c r="E10" s="475" t="s">
        <v>839</v>
      </c>
      <c r="F10" s="470"/>
    </row>
    <row r="11" spans="1:14" x14ac:dyDescent="0.25">
      <c r="A11" s="474"/>
      <c r="B11" s="605"/>
      <c r="C11" s="626" t="s">
        <v>843</v>
      </c>
      <c r="D11" s="475">
        <v>60</v>
      </c>
      <c r="E11" s="475" t="s">
        <v>844</v>
      </c>
      <c r="F11" s="470"/>
    </row>
    <row r="12" spans="1:14" x14ac:dyDescent="0.25">
      <c r="A12" s="474"/>
      <c r="B12" s="605"/>
      <c r="C12" s="606"/>
      <c r="D12" s="607"/>
      <c r="E12" s="607"/>
      <c r="F12" s="470"/>
      <c r="N12" s="496"/>
    </row>
    <row r="13" spans="1:14" x14ac:dyDescent="0.25">
      <c r="A13" s="474"/>
      <c r="B13" s="605"/>
      <c r="C13" s="606" t="s">
        <v>845</v>
      </c>
      <c r="D13" s="475">
        <v>2</v>
      </c>
      <c r="E13" s="605"/>
      <c r="F13" s="470"/>
    </row>
    <row r="14" spans="1:14" x14ac:dyDescent="0.25">
      <c r="A14" s="474"/>
      <c r="B14" s="605"/>
      <c r="C14" s="606" t="s">
        <v>846</v>
      </c>
      <c r="D14" s="476">
        <v>0.65</v>
      </c>
      <c r="E14" s="605"/>
      <c r="F14" s="470"/>
    </row>
    <row r="15" spans="1:14" x14ac:dyDescent="0.25">
      <c r="A15" s="474"/>
      <c r="B15" s="605"/>
      <c r="C15" s="606" t="s">
        <v>279</v>
      </c>
      <c r="D15" s="476">
        <v>0.1</v>
      </c>
      <c r="E15" s="605"/>
      <c r="F15" s="470"/>
    </row>
    <row r="16" spans="1:14" x14ac:dyDescent="0.25">
      <c r="A16" s="474"/>
      <c r="B16" s="605"/>
      <c r="C16" s="606" t="s">
        <v>847</v>
      </c>
      <c r="D16" s="607"/>
      <c r="E16" s="607"/>
      <c r="F16" s="470"/>
    </row>
    <row r="17" spans="1:8" x14ac:dyDescent="0.25">
      <c r="A17" s="474"/>
      <c r="B17" s="605"/>
      <c r="C17" s="606" t="s">
        <v>848</v>
      </c>
      <c r="D17" s="607"/>
      <c r="E17" s="607"/>
      <c r="F17" s="470"/>
    </row>
    <row r="18" spans="1:8" x14ac:dyDescent="0.25">
      <c r="A18" s="474"/>
      <c r="B18" s="605"/>
      <c r="C18" s="606" t="s">
        <v>849</v>
      </c>
      <c r="D18" s="607"/>
      <c r="E18" s="607"/>
      <c r="F18" s="470"/>
    </row>
    <row r="19" spans="1:8" x14ac:dyDescent="0.25">
      <c r="A19" s="474"/>
      <c r="B19" s="605"/>
      <c r="C19" s="606" t="s">
        <v>850</v>
      </c>
      <c r="D19" s="607"/>
      <c r="E19" s="607"/>
      <c r="F19" s="470"/>
      <c r="H19" s="507"/>
    </row>
    <row r="20" spans="1:8" x14ac:dyDescent="0.25">
      <c r="A20" s="474"/>
      <c r="B20" s="605"/>
      <c r="C20" s="606" t="s">
        <v>851</v>
      </c>
      <c r="D20" s="607"/>
      <c r="E20" s="607"/>
      <c r="F20" s="470"/>
    </row>
    <row r="21" spans="1:8" x14ac:dyDescent="0.25">
      <c r="A21" s="474"/>
      <c r="B21" s="605"/>
      <c r="C21" s="607"/>
      <c r="D21" s="607"/>
      <c r="E21" s="607"/>
      <c r="F21" s="470"/>
    </row>
    <row r="22" spans="1:8" x14ac:dyDescent="0.25">
      <c r="A22" s="474"/>
      <c r="B22" s="605"/>
      <c r="C22" s="606" t="s">
        <v>852</v>
      </c>
      <c r="D22" s="607"/>
      <c r="E22" s="607"/>
      <c r="F22" s="470"/>
    </row>
    <row r="23" spans="1:8" x14ac:dyDescent="0.25">
      <c r="A23" s="474"/>
      <c r="B23" s="605"/>
      <c r="C23" s="606"/>
      <c r="D23" s="625" t="s">
        <v>853</v>
      </c>
      <c r="E23" s="607"/>
      <c r="F23" s="470"/>
    </row>
    <row r="24" spans="1:8" x14ac:dyDescent="0.25">
      <c r="A24" s="474"/>
      <c r="B24" s="605"/>
      <c r="C24" s="626" t="s">
        <v>854</v>
      </c>
      <c r="D24" s="475" t="s">
        <v>276</v>
      </c>
      <c r="E24" s="607"/>
      <c r="F24" s="470"/>
    </row>
    <row r="25" spans="1:8" x14ac:dyDescent="0.25">
      <c r="A25" s="474"/>
      <c r="B25" s="605"/>
      <c r="C25" s="626" t="s">
        <v>855</v>
      </c>
      <c r="D25" s="475" t="s">
        <v>278</v>
      </c>
      <c r="E25" s="607"/>
      <c r="F25" s="470"/>
    </row>
    <row r="26" spans="1:8" x14ac:dyDescent="0.25">
      <c r="A26" s="474"/>
      <c r="B26" s="605"/>
      <c r="C26" s="626" t="s">
        <v>383</v>
      </c>
      <c r="D26" s="475" t="s">
        <v>280</v>
      </c>
      <c r="E26" s="607"/>
      <c r="F26" s="470"/>
    </row>
    <row r="27" spans="1:8" x14ac:dyDescent="0.25">
      <c r="A27" s="474"/>
      <c r="B27" s="605"/>
      <c r="C27" s="626" t="s">
        <v>856</v>
      </c>
      <c r="D27" s="475" t="s">
        <v>281</v>
      </c>
      <c r="E27" s="607"/>
      <c r="F27" s="470"/>
    </row>
    <row r="28" spans="1:8" x14ac:dyDescent="0.25">
      <c r="A28" s="474"/>
      <c r="B28" s="605"/>
      <c r="C28" s="626" t="s">
        <v>857</v>
      </c>
      <c r="D28" s="475" t="s">
        <v>438</v>
      </c>
      <c r="E28" s="607"/>
      <c r="F28" s="470"/>
    </row>
    <row r="29" spans="1:8" x14ac:dyDescent="0.25">
      <c r="A29" s="474"/>
      <c r="B29" s="607"/>
      <c r="C29" s="607"/>
      <c r="D29" s="607"/>
      <c r="E29" s="607"/>
      <c r="F29" s="470"/>
    </row>
    <row r="30" spans="1:8" x14ac:dyDescent="0.25">
      <c r="A30" s="474"/>
      <c r="B30" s="605"/>
      <c r="C30" s="606"/>
      <c r="D30" s="607"/>
      <c r="E30" s="607"/>
      <c r="F30" s="470"/>
    </row>
    <row r="31" spans="1:8" ht="31.5" customHeight="1" x14ac:dyDescent="0.25">
      <c r="A31" s="618" t="s">
        <v>89</v>
      </c>
      <c r="B31" s="619" t="s">
        <v>28</v>
      </c>
      <c r="C31" s="742" t="s">
        <v>858</v>
      </c>
      <c r="D31" s="742"/>
      <c r="E31" s="742"/>
      <c r="F31" s="743"/>
    </row>
    <row r="32" spans="1:8" x14ac:dyDescent="0.25">
      <c r="A32" s="618"/>
      <c r="B32" s="619"/>
      <c r="C32" s="627"/>
      <c r="D32" s="628"/>
      <c r="E32" s="628"/>
      <c r="F32" s="629"/>
    </row>
    <row r="33" spans="1:12" x14ac:dyDescent="0.25">
      <c r="A33" s="618" t="s">
        <v>27</v>
      </c>
      <c r="B33" s="619" t="s">
        <v>87</v>
      </c>
      <c r="C33" s="627" t="s">
        <v>859</v>
      </c>
      <c r="D33" s="628"/>
      <c r="E33" s="628"/>
      <c r="F33" s="629"/>
    </row>
    <row r="34" spans="1:12" x14ac:dyDescent="0.25">
      <c r="A34" s="618"/>
      <c r="B34" s="619"/>
      <c r="C34" s="627"/>
      <c r="D34" s="628"/>
      <c r="E34" s="628"/>
      <c r="F34" s="629"/>
    </row>
    <row r="35" spans="1:12" x14ac:dyDescent="0.25">
      <c r="A35" s="618" t="s">
        <v>133</v>
      </c>
      <c r="B35" s="619" t="s">
        <v>25</v>
      </c>
      <c r="C35" s="627" t="s">
        <v>860</v>
      </c>
      <c r="D35" s="628"/>
      <c r="E35" s="628"/>
      <c r="F35" s="629"/>
    </row>
    <row r="36" spans="1:12" x14ac:dyDescent="0.25">
      <c r="A36" s="630"/>
      <c r="B36" s="631"/>
      <c r="C36" s="632"/>
      <c r="D36" s="628"/>
      <c r="E36" s="628"/>
      <c r="F36" s="629"/>
    </row>
    <row r="37" spans="1:12" ht="30.75" customHeight="1" x14ac:dyDescent="0.25">
      <c r="A37" s="618" t="s">
        <v>265</v>
      </c>
      <c r="B37" s="619" t="s">
        <v>28</v>
      </c>
      <c r="C37" s="742" t="s">
        <v>861</v>
      </c>
      <c r="D37" s="742"/>
      <c r="E37" s="742"/>
      <c r="F37" s="743"/>
      <c r="L37" s="506"/>
    </row>
    <row r="38" spans="1:12" ht="15.75" thickBot="1" x14ac:dyDescent="0.3">
      <c r="A38" s="474"/>
      <c r="B38" s="605"/>
      <c r="C38" s="488"/>
      <c r="D38" s="607"/>
      <c r="E38" s="607"/>
      <c r="F38" s="470"/>
    </row>
    <row r="39" spans="1:12" ht="15.75" thickBot="1" x14ac:dyDescent="0.3">
      <c r="A39" s="489" t="s">
        <v>137</v>
      </c>
      <c r="B39" s="490"/>
      <c r="C39" s="491"/>
      <c r="D39" s="491"/>
      <c r="E39" s="491"/>
      <c r="F39" s="492"/>
    </row>
    <row r="40" spans="1:12" x14ac:dyDescent="0.25">
      <c r="A40" s="519"/>
      <c r="C40" s="521"/>
      <c r="D40" s="521"/>
      <c r="E40" s="521"/>
    </row>
    <row r="41" spans="1:12" x14ac:dyDescent="0.25">
      <c r="A41" s="519" t="s">
        <v>13</v>
      </c>
      <c r="B41" s="494">
        <v>1</v>
      </c>
      <c r="C41" s="495" t="s">
        <v>862</v>
      </c>
      <c r="D41" s="521"/>
      <c r="E41" s="521"/>
    </row>
    <row r="42" spans="1:12" x14ac:dyDescent="0.25">
      <c r="A42" s="519"/>
      <c r="C42" s="501" t="s">
        <v>863</v>
      </c>
    </row>
    <row r="43" spans="1:12" x14ac:dyDescent="0.25">
      <c r="A43" s="519"/>
      <c r="C43" s="501"/>
    </row>
    <row r="44" spans="1:12" x14ac:dyDescent="0.25">
      <c r="A44" s="519"/>
      <c r="C44" s="521" t="s">
        <v>864</v>
      </c>
      <c r="D44" s="633">
        <f>D7</f>
        <v>2500</v>
      </c>
      <c r="E44" s="521"/>
    </row>
    <row r="45" spans="1:12" x14ac:dyDescent="0.25">
      <c r="A45" s="519"/>
      <c r="C45" s="521" t="s">
        <v>865</v>
      </c>
      <c r="D45" s="521">
        <f>D14*D44</f>
        <v>1625</v>
      </c>
      <c r="E45" s="521"/>
    </row>
    <row r="46" spans="1:12" x14ac:dyDescent="0.25">
      <c r="A46" s="519"/>
      <c r="C46" s="521" t="s">
        <v>866</v>
      </c>
      <c r="D46" s="633">
        <f>D8+D9</f>
        <v>320</v>
      </c>
      <c r="E46" s="498" t="s">
        <v>867</v>
      </c>
    </row>
    <row r="47" spans="1:12" x14ac:dyDescent="0.25">
      <c r="A47" s="519"/>
      <c r="C47" s="521" t="s">
        <v>868</v>
      </c>
      <c r="D47" s="521">
        <f>D15*D45</f>
        <v>162.5</v>
      </c>
      <c r="E47" s="498" t="s">
        <v>869</v>
      </c>
    </row>
    <row r="48" spans="1:12" x14ac:dyDescent="0.25">
      <c r="A48" s="519"/>
      <c r="C48" s="521"/>
      <c r="D48" s="521"/>
      <c r="E48" s="521"/>
    </row>
    <row r="49" spans="1:5" x14ac:dyDescent="0.25">
      <c r="A49" s="519"/>
      <c r="C49" s="521" t="s">
        <v>870</v>
      </c>
      <c r="D49" s="633">
        <f>D44</f>
        <v>2500</v>
      </c>
      <c r="E49" s="498" t="s">
        <v>871</v>
      </c>
    </row>
    <row r="50" spans="1:5" x14ac:dyDescent="0.25">
      <c r="A50" s="519"/>
      <c r="C50" s="521" t="s">
        <v>872</v>
      </c>
      <c r="D50" s="633">
        <f>D49-D45-D46-D47</f>
        <v>392.5</v>
      </c>
      <c r="E50" s="498" t="s">
        <v>873</v>
      </c>
    </row>
    <row r="51" spans="1:5" x14ac:dyDescent="0.25">
      <c r="A51" s="519"/>
      <c r="C51" s="521"/>
      <c r="D51" s="521"/>
      <c r="E51" s="521"/>
    </row>
    <row r="52" spans="1:5" x14ac:dyDescent="0.25">
      <c r="A52" s="493" t="s">
        <v>27</v>
      </c>
      <c r="B52" s="494">
        <v>1.25</v>
      </c>
      <c r="C52" s="501" t="s">
        <v>874</v>
      </c>
    </row>
    <row r="53" spans="1:5" x14ac:dyDescent="0.25">
      <c r="C53" s="498" t="s">
        <v>875</v>
      </c>
    </row>
    <row r="54" spans="1:5" x14ac:dyDescent="0.25">
      <c r="C54" s="493" t="s">
        <v>276</v>
      </c>
    </row>
    <row r="55" spans="1:5" x14ac:dyDescent="0.25">
      <c r="C55" s="493">
        <f>D7/D13</f>
        <v>1250</v>
      </c>
      <c r="D55" s="634" t="s">
        <v>876</v>
      </c>
    </row>
    <row r="56" spans="1:5" x14ac:dyDescent="0.25">
      <c r="C56" s="493" t="s">
        <v>278</v>
      </c>
    </row>
    <row r="57" spans="1:5" x14ac:dyDescent="0.25">
      <c r="C57" s="506">
        <f>D9</f>
        <v>70</v>
      </c>
      <c r="D57" s="634" t="s">
        <v>877</v>
      </c>
    </row>
    <row r="58" spans="1:5" x14ac:dyDescent="0.25">
      <c r="C58" s="493" t="s">
        <v>280</v>
      </c>
    </row>
    <row r="59" spans="1:5" x14ac:dyDescent="0.25">
      <c r="C59" s="493">
        <f>D8/D13</f>
        <v>125</v>
      </c>
      <c r="D59" s="634" t="s">
        <v>878</v>
      </c>
    </row>
    <row r="60" spans="1:5" x14ac:dyDescent="0.25">
      <c r="C60" s="493" t="s">
        <v>281</v>
      </c>
    </row>
    <row r="61" spans="1:5" x14ac:dyDescent="0.25">
      <c r="C61" s="506">
        <f>C59+C57</f>
        <v>195</v>
      </c>
      <c r="D61" s="634" t="s">
        <v>879</v>
      </c>
    </row>
    <row r="62" spans="1:5" x14ac:dyDescent="0.25">
      <c r="C62" s="493" t="s">
        <v>438</v>
      </c>
    </row>
    <row r="63" spans="1:5" x14ac:dyDescent="0.25">
      <c r="C63" s="506">
        <f>C55-C61</f>
        <v>1055</v>
      </c>
      <c r="D63" s="634" t="s">
        <v>880</v>
      </c>
    </row>
    <row r="65" spans="1:5" x14ac:dyDescent="0.25">
      <c r="A65" s="493" t="s">
        <v>133</v>
      </c>
      <c r="B65" s="494">
        <v>0.5</v>
      </c>
      <c r="C65" s="501" t="s">
        <v>881</v>
      </c>
    </row>
    <row r="66" spans="1:5" x14ac:dyDescent="0.25">
      <c r="C66" s="498" t="s">
        <v>882</v>
      </c>
    </row>
    <row r="67" spans="1:5" x14ac:dyDescent="0.25">
      <c r="C67" s="493">
        <f>D8/D13</f>
        <v>125</v>
      </c>
      <c r="E67" s="507"/>
    </row>
    <row r="68" spans="1:5" x14ac:dyDescent="0.25">
      <c r="C68" s="498" t="s">
        <v>871</v>
      </c>
      <c r="E68" s="507"/>
    </row>
    <row r="69" spans="1:5" x14ac:dyDescent="0.25">
      <c r="C69" s="506">
        <f>D44-C55-C67</f>
        <v>1125</v>
      </c>
    </row>
    <row r="71" spans="1:5" x14ac:dyDescent="0.25">
      <c r="A71" s="493" t="s">
        <v>265</v>
      </c>
      <c r="B71" s="494">
        <v>1</v>
      </c>
      <c r="C71" s="501" t="s">
        <v>883</v>
      </c>
    </row>
    <row r="72" spans="1:5" x14ac:dyDescent="0.25">
      <c r="C72" s="498" t="s">
        <v>771</v>
      </c>
    </row>
    <row r="73" spans="1:5" x14ac:dyDescent="0.25">
      <c r="C73" s="493" t="s">
        <v>884</v>
      </c>
      <c r="D73" s="493" t="s">
        <v>885</v>
      </c>
    </row>
    <row r="74" spans="1:5" x14ac:dyDescent="0.25">
      <c r="C74" s="493" t="s">
        <v>886</v>
      </c>
    </row>
    <row r="75" spans="1:5" x14ac:dyDescent="0.25">
      <c r="C75" s="493" t="s">
        <v>887</v>
      </c>
    </row>
    <row r="77" spans="1:5" x14ac:dyDescent="0.25">
      <c r="C77" s="493" t="s">
        <v>888</v>
      </c>
      <c r="D77" s="493" t="s">
        <v>889</v>
      </c>
    </row>
    <row r="78" spans="1:5" x14ac:dyDescent="0.25">
      <c r="C78" s="493" t="s">
        <v>890</v>
      </c>
    </row>
    <row r="79" spans="1:5" x14ac:dyDescent="0.25">
      <c r="C79" s="493" t="s">
        <v>891</v>
      </c>
    </row>
    <row r="81" spans="3:4" x14ac:dyDescent="0.25">
      <c r="C81" s="493" t="s">
        <v>892</v>
      </c>
      <c r="D81" s="493" t="s">
        <v>893</v>
      </c>
    </row>
    <row r="82" spans="3:4" x14ac:dyDescent="0.25">
      <c r="C82" s="493" t="s">
        <v>894</v>
      </c>
    </row>
    <row r="83" spans="3:4" x14ac:dyDescent="0.25">
      <c r="C83" s="493" t="s">
        <v>895</v>
      </c>
    </row>
    <row r="85" spans="3:4" x14ac:dyDescent="0.25">
      <c r="C85" s="493" t="s">
        <v>896</v>
      </c>
    </row>
    <row r="86" spans="3:4" x14ac:dyDescent="0.25">
      <c r="C86" s="493" t="s">
        <v>897</v>
      </c>
    </row>
    <row r="87" spans="3:4" x14ac:dyDescent="0.25">
      <c r="C87" s="493" t="s">
        <v>898</v>
      </c>
    </row>
  </sheetData>
  <mergeCells count="3">
    <mergeCell ref="C3:F3"/>
    <mergeCell ref="C31:F31"/>
    <mergeCell ref="C37:F37"/>
  </mergeCells>
  <conditionalFormatting sqref="B41">
    <cfRule type="expression" dxfId="21" priority="10">
      <formula>CELL("protect",B41)=1</formula>
    </cfRule>
  </conditionalFormatting>
  <conditionalFormatting sqref="B52">
    <cfRule type="expression" dxfId="20" priority="11">
      <formula>CELL("protect",B52)=1</formula>
    </cfRule>
  </conditionalFormatting>
  <conditionalFormatting sqref="B65">
    <cfRule type="expression" dxfId="19" priority="3">
      <formula>CELL("protect",B65)=1</formula>
    </cfRule>
  </conditionalFormatting>
  <conditionalFormatting sqref="B71">
    <cfRule type="expression" dxfId="18" priority="5">
      <formula>CELL("protect",B71)=1</formula>
    </cfRule>
  </conditionalFormatting>
  <conditionalFormatting sqref="C53">
    <cfRule type="expression" dxfId="17" priority="12">
      <formula>CELL("protect",C53)=1</formula>
    </cfRule>
  </conditionalFormatting>
  <conditionalFormatting sqref="C66">
    <cfRule type="expression" dxfId="16" priority="2">
      <formula>CELL("protect",C66)=1</formula>
    </cfRule>
  </conditionalFormatting>
  <conditionalFormatting sqref="C68">
    <cfRule type="expression" dxfId="15" priority="1">
      <formula>CELL("protect",C68)=1</formula>
    </cfRule>
  </conditionalFormatting>
  <conditionalFormatting sqref="C72">
    <cfRule type="expression" dxfId="14" priority="4">
      <formula>CELL("protect",C72)=1</formula>
    </cfRule>
  </conditionalFormatting>
  <conditionalFormatting sqref="E46:E47">
    <cfRule type="expression" dxfId="13" priority="6">
      <formula>CELL("protect",E46)=1</formula>
    </cfRule>
  </conditionalFormatting>
  <conditionalFormatting sqref="E49:E50">
    <cfRule type="expression" dxfId="12" priority="7">
      <formula>CELL("protect",E49)=1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C6190-BB63-4393-85BE-2ED8D55D8137}">
  <dimension ref="A1:L52"/>
  <sheetViews>
    <sheetView zoomScale="90" zoomScaleNormal="90" workbookViewId="0">
      <selection activeCell="G8" sqref="G8"/>
    </sheetView>
  </sheetViews>
  <sheetFormatPr defaultColWidth="9.140625" defaultRowHeight="15" x14ac:dyDescent="0.25"/>
  <cols>
    <col min="1" max="1" width="4.42578125" style="496" customWidth="1"/>
    <col min="2" max="2" width="11.7109375" style="496" customWidth="1"/>
    <col min="3" max="3" width="34.140625" style="496" customWidth="1"/>
    <col min="4" max="10" width="12.42578125" style="496" customWidth="1"/>
    <col min="11" max="16384" width="9.140625" style="496"/>
  </cols>
  <sheetData>
    <row r="1" spans="1:12" x14ac:dyDescent="0.25">
      <c r="A1" s="467"/>
      <c r="B1" s="468" t="s">
        <v>38</v>
      </c>
      <c r="C1" s="469"/>
      <c r="D1" s="469"/>
      <c r="E1" s="469"/>
      <c r="F1" s="469"/>
      <c r="G1" s="469"/>
      <c r="H1" s="469"/>
      <c r="I1" s="469"/>
      <c r="J1" s="570"/>
    </row>
    <row r="2" spans="1:12" x14ac:dyDescent="0.25">
      <c r="A2" s="467"/>
      <c r="B2" s="468"/>
      <c r="C2" s="469"/>
      <c r="D2" s="469"/>
      <c r="E2" s="469"/>
      <c r="F2" s="469"/>
      <c r="G2" s="469"/>
      <c r="H2" s="469"/>
      <c r="I2" s="469"/>
      <c r="J2" s="570"/>
    </row>
    <row r="3" spans="1:12" ht="30" customHeight="1" x14ac:dyDescent="0.25">
      <c r="A3" s="467"/>
      <c r="B3" s="468"/>
      <c r="C3" s="744" t="s">
        <v>899</v>
      </c>
      <c r="D3" s="744"/>
      <c r="E3" s="744"/>
      <c r="F3" s="744"/>
      <c r="G3" s="744"/>
      <c r="H3" s="744"/>
      <c r="I3" s="744"/>
      <c r="J3" s="745"/>
    </row>
    <row r="4" spans="1:12" x14ac:dyDescent="0.25">
      <c r="A4" s="467"/>
      <c r="B4" s="468"/>
      <c r="C4" s="584"/>
      <c r="D4" s="584"/>
      <c r="E4" s="584"/>
      <c r="F4" s="584"/>
      <c r="G4" s="584"/>
      <c r="H4" s="584"/>
      <c r="I4" s="584"/>
      <c r="J4" s="585"/>
    </row>
    <row r="5" spans="1:12" x14ac:dyDescent="0.25">
      <c r="A5" s="467"/>
      <c r="B5" s="468"/>
      <c r="C5" s="635" t="s">
        <v>900</v>
      </c>
      <c r="D5" s="584"/>
      <c r="E5" s="584"/>
      <c r="F5" s="584"/>
      <c r="G5" s="584"/>
      <c r="H5" s="584"/>
      <c r="I5" s="584"/>
      <c r="J5" s="585"/>
    </row>
    <row r="6" spans="1:12" x14ac:dyDescent="0.25">
      <c r="A6" s="467"/>
      <c r="B6" s="468"/>
      <c r="C6" s="636" t="s">
        <v>901</v>
      </c>
      <c r="D6" s="584"/>
      <c r="E6" s="584"/>
      <c r="F6" s="584"/>
      <c r="G6" s="584"/>
      <c r="H6" s="584"/>
      <c r="I6" s="584"/>
      <c r="J6" s="585"/>
    </row>
    <row r="7" spans="1:12" x14ac:dyDescent="0.25">
      <c r="A7" s="467"/>
      <c r="B7" s="468"/>
      <c r="C7" s="636" t="s">
        <v>902</v>
      </c>
      <c r="D7" s="584"/>
      <c r="E7" s="584"/>
      <c r="F7" s="584"/>
      <c r="G7" s="584"/>
      <c r="H7" s="584"/>
      <c r="I7" s="584"/>
      <c r="J7" s="585"/>
    </row>
    <row r="8" spans="1:12" x14ac:dyDescent="0.25">
      <c r="A8" s="467"/>
      <c r="B8" s="468"/>
      <c r="C8" s="584"/>
      <c r="D8" s="584"/>
      <c r="E8" s="584"/>
      <c r="F8" s="584"/>
      <c r="G8" s="584"/>
      <c r="H8" s="584"/>
      <c r="I8" s="584"/>
      <c r="J8" s="585"/>
    </row>
    <row r="9" spans="1:12" s="637" customFormat="1" x14ac:dyDescent="0.25">
      <c r="A9" s="571" t="s">
        <v>89</v>
      </c>
      <c r="B9" s="572" t="s">
        <v>0</v>
      </c>
      <c r="C9" s="744" t="s">
        <v>903</v>
      </c>
      <c r="D9" s="744"/>
      <c r="E9" s="744"/>
      <c r="F9" s="744"/>
      <c r="G9" s="744"/>
      <c r="H9" s="744"/>
      <c r="I9" s="744"/>
      <c r="J9" s="745"/>
      <c r="L9" s="686"/>
    </row>
    <row r="10" spans="1:12" x14ac:dyDescent="0.25">
      <c r="A10" s="467"/>
      <c r="B10" s="468"/>
      <c r="C10" s="469"/>
      <c r="D10" s="469"/>
      <c r="E10" s="469"/>
      <c r="F10" s="469"/>
      <c r="G10" s="469"/>
      <c r="H10" s="469"/>
      <c r="I10" s="469"/>
      <c r="J10" s="570"/>
      <c r="L10"/>
    </row>
    <row r="11" spans="1:12" s="637" customFormat="1" x14ac:dyDescent="0.25">
      <c r="A11" s="571" t="s">
        <v>27</v>
      </c>
      <c r="B11" s="572" t="s">
        <v>28</v>
      </c>
      <c r="C11" s="744" t="s">
        <v>904</v>
      </c>
      <c r="D11" s="744"/>
      <c r="E11" s="744"/>
      <c r="F11" s="744"/>
      <c r="G11" s="744"/>
      <c r="H11" s="744"/>
      <c r="I11" s="744"/>
      <c r="J11" s="745"/>
      <c r="L11" s="687"/>
    </row>
    <row r="12" spans="1:12" s="637" customFormat="1" x14ac:dyDescent="0.25">
      <c r="A12" s="571"/>
      <c r="B12" s="572"/>
      <c r="C12" s="572" t="s">
        <v>905</v>
      </c>
      <c r="D12" s="584"/>
      <c r="E12" s="584"/>
      <c r="F12" s="584"/>
      <c r="G12" s="584"/>
      <c r="H12" s="584"/>
      <c r="I12" s="584"/>
      <c r="J12" s="585"/>
      <c r="L12"/>
    </row>
    <row r="13" spans="1:12" s="637" customFormat="1" x14ac:dyDescent="0.25">
      <c r="A13" s="571"/>
      <c r="B13" s="572"/>
      <c r="C13" s="572" t="s">
        <v>906</v>
      </c>
      <c r="D13" s="584"/>
      <c r="E13" s="584"/>
      <c r="F13" s="584"/>
      <c r="G13" s="584"/>
      <c r="H13" s="584"/>
      <c r="I13" s="584"/>
      <c r="J13" s="585"/>
      <c r="L13" s="688"/>
    </row>
    <row r="14" spans="1:12" s="637" customFormat="1" x14ac:dyDescent="0.25">
      <c r="A14" s="571"/>
      <c r="B14" s="572"/>
      <c r="C14" s="572"/>
      <c r="D14" s="584"/>
      <c r="E14" s="584"/>
      <c r="F14" s="584"/>
      <c r="G14" s="584"/>
      <c r="H14" s="584"/>
      <c r="I14" s="584"/>
      <c r="J14" s="585"/>
      <c r="L14"/>
    </row>
    <row r="15" spans="1:12" s="637" customFormat="1" x14ac:dyDescent="0.25">
      <c r="A15" s="571" t="s">
        <v>133</v>
      </c>
      <c r="B15" s="572" t="s">
        <v>25</v>
      </c>
      <c r="C15" s="744" t="s">
        <v>907</v>
      </c>
      <c r="D15" s="744"/>
      <c r="E15" s="744"/>
      <c r="F15" s="744"/>
      <c r="G15" s="744"/>
      <c r="H15" s="744"/>
      <c r="I15" s="744"/>
      <c r="J15" s="745"/>
      <c r="L15" s="687"/>
    </row>
    <row r="16" spans="1:12" s="637" customFormat="1" ht="15.75" thickBot="1" x14ac:dyDescent="0.3">
      <c r="A16" s="580"/>
      <c r="B16" s="572"/>
      <c r="C16" s="572"/>
      <c r="D16" s="584"/>
      <c r="E16" s="584"/>
      <c r="F16" s="584"/>
      <c r="G16" s="584"/>
      <c r="H16" s="584"/>
      <c r="I16" s="584"/>
      <c r="J16" s="585"/>
      <c r="L16" s="687"/>
    </row>
    <row r="17" spans="1:12" ht="15.75" thickBot="1" x14ac:dyDescent="0.3">
      <c r="A17" s="489" t="s">
        <v>137</v>
      </c>
      <c r="B17" s="490"/>
      <c r="C17" s="491"/>
      <c r="D17" s="491"/>
      <c r="E17" s="491"/>
      <c r="F17" s="491"/>
      <c r="G17" s="517"/>
      <c r="H17" s="517"/>
      <c r="I17" s="517"/>
      <c r="J17" s="573"/>
      <c r="L17" s="687"/>
    </row>
    <row r="18" spans="1:12" x14ac:dyDescent="0.25">
      <c r="L18" s="687"/>
    </row>
    <row r="19" spans="1:12" s="574" customFormat="1" x14ac:dyDescent="0.25">
      <c r="A19" s="574" t="s">
        <v>13</v>
      </c>
      <c r="B19" s="575"/>
      <c r="C19" s="548" t="s">
        <v>908</v>
      </c>
      <c r="L19" s="687"/>
    </row>
    <row r="20" spans="1:12" s="574" customFormat="1" x14ac:dyDescent="0.25">
      <c r="B20" s="576"/>
      <c r="C20" s="638" t="s">
        <v>909</v>
      </c>
      <c r="L20"/>
    </row>
    <row r="21" spans="1:12" s="574" customFormat="1" x14ac:dyDescent="0.25">
      <c r="B21" s="576"/>
      <c r="C21" s="638" t="s">
        <v>910</v>
      </c>
      <c r="L21" s="689"/>
    </row>
    <row r="22" spans="1:12" s="574" customFormat="1" x14ac:dyDescent="0.25">
      <c r="B22" s="576"/>
      <c r="C22" s="638" t="s">
        <v>911</v>
      </c>
      <c r="L22"/>
    </row>
    <row r="23" spans="1:12" s="574" customFormat="1" x14ac:dyDescent="0.25">
      <c r="B23" s="576"/>
      <c r="C23" s="638" t="s">
        <v>912</v>
      </c>
      <c r="L23" s="688"/>
    </row>
    <row r="24" spans="1:12" s="574" customFormat="1" x14ac:dyDescent="0.25">
      <c r="B24" s="576"/>
      <c r="C24" s="577" t="s">
        <v>913</v>
      </c>
      <c r="L24"/>
    </row>
    <row r="25" spans="1:12" s="574" customFormat="1" x14ac:dyDescent="0.25">
      <c r="B25" s="576"/>
      <c r="C25" s="577"/>
      <c r="L25" s="687"/>
    </row>
    <row r="26" spans="1:12" s="574" customFormat="1" x14ac:dyDescent="0.25">
      <c r="B26" s="575">
        <v>0.25</v>
      </c>
      <c r="C26" s="496" t="s">
        <v>914</v>
      </c>
      <c r="L26"/>
    </row>
    <row r="27" spans="1:12" s="574" customFormat="1" x14ac:dyDescent="0.25">
      <c r="B27" s="575"/>
      <c r="C27" s="496" t="s">
        <v>915</v>
      </c>
      <c r="L27" s="689"/>
    </row>
    <row r="28" spans="1:12" s="574" customFormat="1" x14ac:dyDescent="0.25">
      <c r="B28" s="575">
        <v>0.25</v>
      </c>
      <c r="C28" s="496" t="s">
        <v>916</v>
      </c>
      <c r="L28"/>
    </row>
    <row r="29" spans="1:12" s="574" customFormat="1" x14ac:dyDescent="0.25">
      <c r="B29" s="575">
        <v>0.25</v>
      </c>
      <c r="C29" s="496" t="s">
        <v>917</v>
      </c>
      <c r="L29" s="688"/>
    </row>
    <row r="30" spans="1:12" s="574" customFormat="1" x14ac:dyDescent="0.25">
      <c r="B30" s="575"/>
      <c r="C30" s="548" t="s">
        <v>918</v>
      </c>
      <c r="L30"/>
    </row>
    <row r="31" spans="1:12" x14ac:dyDescent="0.25">
      <c r="L31" s="687"/>
    </row>
    <row r="32" spans="1:12" x14ac:dyDescent="0.25">
      <c r="A32" s="496" t="s">
        <v>27</v>
      </c>
      <c r="B32" s="575"/>
      <c r="C32" s="548" t="s">
        <v>919</v>
      </c>
      <c r="L32" s="687"/>
    </row>
    <row r="33" spans="1:12" x14ac:dyDescent="0.25">
      <c r="B33" s="575">
        <v>0.25</v>
      </c>
      <c r="C33" s="496" t="s">
        <v>920</v>
      </c>
      <c r="L33"/>
    </row>
    <row r="34" spans="1:12" x14ac:dyDescent="0.25">
      <c r="B34" s="575">
        <v>0.25</v>
      </c>
      <c r="C34" s="496" t="s">
        <v>921</v>
      </c>
      <c r="L34" s="689"/>
    </row>
    <row r="35" spans="1:12" x14ac:dyDescent="0.25">
      <c r="B35" s="575">
        <v>0.25</v>
      </c>
      <c r="C35" s="496" t="s">
        <v>922</v>
      </c>
      <c r="L35"/>
    </row>
    <row r="36" spans="1:12" x14ac:dyDescent="0.25">
      <c r="C36" s="496" t="s">
        <v>520</v>
      </c>
      <c r="L36"/>
    </row>
    <row r="37" spans="1:12" x14ac:dyDescent="0.25">
      <c r="C37" s="496" t="s">
        <v>923</v>
      </c>
      <c r="L37" s="689"/>
    </row>
    <row r="38" spans="1:12" x14ac:dyDescent="0.25">
      <c r="B38" s="575">
        <v>0.25</v>
      </c>
      <c r="C38" s="496" t="s">
        <v>924</v>
      </c>
    </row>
    <row r="40" spans="1:12" x14ac:dyDescent="0.25">
      <c r="A40" s="496" t="s">
        <v>133</v>
      </c>
      <c r="C40" s="548" t="s">
        <v>925</v>
      </c>
    </row>
    <row r="41" spans="1:12" x14ac:dyDescent="0.25">
      <c r="B41" s="575">
        <v>0.25</v>
      </c>
      <c r="C41" s="496" t="s">
        <v>926</v>
      </c>
    </row>
    <row r="42" spans="1:12" x14ac:dyDescent="0.25">
      <c r="B42" s="575">
        <v>0.25</v>
      </c>
      <c r="C42" s="496" t="s">
        <v>927</v>
      </c>
    </row>
    <row r="43" spans="1:12" x14ac:dyDescent="0.25">
      <c r="B43" s="575"/>
      <c r="C43" s="496" t="s">
        <v>928</v>
      </c>
    </row>
    <row r="44" spans="1:12" x14ac:dyDescent="0.25">
      <c r="C44" s="496" t="s">
        <v>520</v>
      </c>
    </row>
    <row r="45" spans="1:12" x14ac:dyDescent="0.25">
      <c r="C45" s="496" t="s">
        <v>929</v>
      </c>
    </row>
    <row r="47" spans="1:12" x14ac:dyDescent="0.25">
      <c r="B47" s="575"/>
      <c r="C47" s="496" t="s">
        <v>930</v>
      </c>
    </row>
    <row r="48" spans="1:12" x14ac:dyDescent="0.25">
      <c r="B48" s="575"/>
      <c r="C48" s="496" t="s">
        <v>931</v>
      </c>
    </row>
    <row r="49" spans="3:3" x14ac:dyDescent="0.25">
      <c r="C49" s="496" t="s">
        <v>932</v>
      </c>
    </row>
    <row r="50" spans="3:3" x14ac:dyDescent="0.25">
      <c r="C50" s="496" t="s">
        <v>520</v>
      </c>
    </row>
    <row r="51" spans="3:3" x14ac:dyDescent="0.25">
      <c r="C51" s="496" t="s">
        <v>933</v>
      </c>
    </row>
    <row r="52" spans="3:3" x14ac:dyDescent="0.25">
      <c r="C52" s="548" t="s">
        <v>934</v>
      </c>
    </row>
  </sheetData>
  <mergeCells count="4">
    <mergeCell ref="C3:J3"/>
    <mergeCell ref="C9:J9"/>
    <mergeCell ref="C11:J11"/>
    <mergeCell ref="C15:J1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97905-9913-42B4-AEA2-7FD716AC8A9C}">
  <dimension ref="A1:J63"/>
  <sheetViews>
    <sheetView topLeftCell="A4" zoomScale="85" zoomScaleNormal="85" workbookViewId="0">
      <selection activeCell="E46" sqref="E46"/>
    </sheetView>
  </sheetViews>
  <sheetFormatPr defaultColWidth="9.140625" defaultRowHeight="15" x14ac:dyDescent="0.25"/>
  <cols>
    <col min="1" max="1" width="4.42578125" style="496" customWidth="1"/>
    <col min="2" max="2" width="12.42578125" style="496" customWidth="1"/>
    <col min="3" max="3" width="14.7109375" style="496" customWidth="1"/>
    <col min="4" max="4" width="22.7109375" style="496" customWidth="1"/>
    <col min="5" max="5" width="16.85546875" style="496" customWidth="1"/>
    <col min="6" max="6" width="19" style="496" customWidth="1"/>
    <col min="7" max="7" width="30.85546875" style="496" customWidth="1"/>
    <col min="8" max="10" width="12.42578125" style="496" customWidth="1"/>
    <col min="11" max="16384" width="9.140625" style="496"/>
  </cols>
  <sheetData>
    <row r="1" spans="1:10" x14ac:dyDescent="0.25">
      <c r="A1" s="467"/>
      <c r="B1" s="468" t="s">
        <v>73</v>
      </c>
      <c r="C1" s="469"/>
      <c r="D1" s="469"/>
      <c r="E1" s="469"/>
      <c r="F1" s="469"/>
      <c r="G1" s="469"/>
      <c r="H1" s="469"/>
      <c r="I1" s="469"/>
      <c r="J1" s="570"/>
    </row>
    <row r="2" spans="1:10" x14ac:dyDescent="0.25">
      <c r="A2" s="467"/>
      <c r="B2" s="468"/>
      <c r="C2" s="469"/>
      <c r="D2" s="469"/>
      <c r="E2" s="469"/>
      <c r="F2" s="469"/>
      <c r="G2" s="469"/>
      <c r="H2" s="469"/>
      <c r="I2" s="469"/>
      <c r="J2" s="570"/>
    </row>
    <row r="3" spans="1:10" x14ac:dyDescent="0.25">
      <c r="A3" s="467"/>
      <c r="B3" s="468"/>
      <c r="C3" s="744" t="s">
        <v>935</v>
      </c>
      <c r="D3" s="744"/>
      <c r="E3" s="744"/>
      <c r="F3" s="744"/>
      <c r="G3" s="744"/>
      <c r="H3" s="744"/>
      <c r="I3" s="744"/>
      <c r="J3" s="745"/>
    </row>
    <row r="4" spans="1:10" ht="45" customHeight="1" x14ac:dyDescent="0.25">
      <c r="A4" s="467"/>
      <c r="B4" s="468"/>
      <c r="C4" s="744" t="s">
        <v>936</v>
      </c>
      <c r="D4" s="744"/>
      <c r="E4" s="744"/>
      <c r="F4" s="744"/>
      <c r="G4" s="744"/>
      <c r="H4" s="744"/>
      <c r="I4" s="744"/>
      <c r="J4" s="745"/>
    </row>
    <row r="5" spans="1:10" x14ac:dyDescent="0.25">
      <c r="A5" s="467"/>
      <c r="B5" s="468"/>
      <c r="C5" s="584"/>
      <c r="D5" s="584"/>
      <c r="E5" s="584"/>
      <c r="F5" s="584"/>
      <c r="G5" s="584"/>
      <c r="H5" s="584"/>
      <c r="I5" s="584"/>
      <c r="J5" s="585"/>
    </row>
    <row r="6" spans="1:10" x14ac:dyDescent="0.25">
      <c r="A6" s="467"/>
      <c r="B6" s="468"/>
      <c r="C6" s="635" t="s">
        <v>937</v>
      </c>
      <c r="D6" s="635" t="s">
        <v>938</v>
      </c>
      <c r="E6" s="635" t="s">
        <v>939</v>
      </c>
      <c r="F6" s="635" t="s">
        <v>940</v>
      </c>
      <c r="G6" s="635" t="s">
        <v>941</v>
      </c>
      <c r="H6" s="584"/>
      <c r="I6" s="584"/>
      <c r="J6" s="585"/>
    </row>
    <row r="7" spans="1:10" x14ac:dyDescent="0.25">
      <c r="A7" s="467"/>
      <c r="B7" s="468"/>
      <c r="C7" s="636" t="s">
        <v>276</v>
      </c>
      <c r="D7" s="636" t="s">
        <v>942</v>
      </c>
      <c r="E7" s="636" t="s">
        <v>943</v>
      </c>
      <c r="F7" s="636" t="s">
        <v>944</v>
      </c>
      <c r="G7" s="639" t="s">
        <v>945</v>
      </c>
      <c r="H7" s="584"/>
      <c r="I7" s="584"/>
      <c r="J7" s="585"/>
    </row>
    <row r="8" spans="1:10" x14ac:dyDescent="0.25">
      <c r="A8" s="467"/>
      <c r="B8" s="468"/>
      <c r="C8" s="636" t="s">
        <v>278</v>
      </c>
      <c r="D8" s="636" t="s">
        <v>946</v>
      </c>
      <c r="E8" s="636" t="s">
        <v>943</v>
      </c>
      <c r="F8" s="636" t="s">
        <v>944</v>
      </c>
      <c r="G8" s="639" t="s">
        <v>947</v>
      </c>
      <c r="H8" s="584"/>
      <c r="I8" s="584"/>
      <c r="J8" s="585"/>
    </row>
    <row r="9" spans="1:10" x14ac:dyDescent="0.25">
      <c r="A9" s="467"/>
      <c r="B9" s="468"/>
      <c r="C9" s="636" t="s">
        <v>280</v>
      </c>
      <c r="D9" s="636" t="s">
        <v>946</v>
      </c>
      <c r="E9" s="636" t="s">
        <v>943</v>
      </c>
      <c r="F9" s="636" t="s">
        <v>944</v>
      </c>
      <c r="G9" s="639" t="s">
        <v>948</v>
      </c>
      <c r="H9" s="584"/>
      <c r="I9" s="584"/>
      <c r="J9" s="585"/>
    </row>
    <row r="10" spans="1:10" x14ac:dyDescent="0.25">
      <c r="A10" s="467"/>
      <c r="B10" s="468"/>
      <c r="C10" s="636" t="s">
        <v>281</v>
      </c>
      <c r="D10" s="636" t="s">
        <v>946</v>
      </c>
      <c r="E10" s="636" t="s">
        <v>943</v>
      </c>
      <c r="F10" s="636" t="s">
        <v>944</v>
      </c>
      <c r="G10" s="639" t="s">
        <v>949</v>
      </c>
      <c r="H10" s="584"/>
      <c r="I10" s="584"/>
      <c r="J10" s="585"/>
    </row>
    <row r="11" spans="1:10" x14ac:dyDescent="0.25">
      <c r="A11" s="467"/>
      <c r="B11" s="468"/>
      <c r="C11" s="636" t="s">
        <v>438</v>
      </c>
      <c r="D11" s="636" t="s">
        <v>946</v>
      </c>
      <c r="E11" s="636" t="s">
        <v>943</v>
      </c>
      <c r="F11" s="636" t="s">
        <v>944</v>
      </c>
      <c r="G11" s="639" t="s">
        <v>950</v>
      </c>
      <c r="H11" s="584"/>
      <c r="I11" s="584"/>
      <c r="J11" s="585"/>
    </row>
    <row r="12" spans="1:10" x14ac:dyDescent="0.25">
      <c r="A12" s="467"/>
      <c r="B12" s="468"/>
      <c r="C12" s="584"/>
      <c r="D12" s="584"/>
      <c r="E12" s="584"/>
      <c r="F12" s="584"/>
      <c r="G12" s="572"/>
      <c r="H12" s="584"/>
      <c r="I12" s="584"/>
      <c r="J12" s="585"/>
    </row>
    <row r="13" spans="1:10" s="637" customFormat="1" x14ac:dyDescent="0.25">
      <c r="A13" s="571" t="s">
        <v>89</v>
      </c>
      <c r="B13" s="572" t="s">
        <v>25</v>
      </c>
      <c r="C13" s="744" t="s">
        <v>951</v>
      </c>
      <c r="D13" s="744"/>
      <c r="E13" s="744"/>
      <c r="F13" s="744"/>
      <c r="G13" s="744"/>
      <c r="H13" s="744"/>
      <c r="I13" s="744"/>
      <c r="J13" s="745"/>
    </row>
    <row r="14" spans="1:10" x14ac:dyDescent="0.25">
      <c r="A14" s="467"/>
      <c r="B14" s="468"/>
      <c r="C14" s="469"/>
      <c r="D14" s="469"/>
      <c r="E14" s="469"/>
      <c r="F14" s="469"/>
      <c r="G14" s="469"/>
      <c r="H14" s="469"/>
      <c r="I14" s="469"/>
      <c r="J14" s="570"/>
    </row>
    <row r="15" spans="1:10" s="637" customFormat="1" x14ac:dyDescent="0.25">
      <c r="A15" s="571" t="s">
        <v>27</v>
      </c>
      <c r="B15" s="572" t="s">
        <v>25</v>
      </c>
      <c r="C15" s="744" t="s">
        <v>952</v>
      </c>
      <c r="D15" s="744"/>
      <c r="E15" s="744"/>
      <c r="F15" s="744"/>
      <c r="G15" s="744"/>
      <c r="H15" s="744"/>
      <c r="I15" s="744"/>
      <c r="J15" s="745"/>
    </row>
    <row r="16" spans="1:10" s="637" customFormat="1" x14ac:dyDescent="0.25">
      <c r="A16" s="571"/>
      <c r="B16" s="572"/>
      <c r="C16" s="572"/>
      <c r="D16" s="584"/>
      <c r="E16" s="584"/>
      <c r="F16" s="584"/>
      <c r="G16" s="584"/>
      <c r="H16" s="584"/>
      <c r="I16" s="584"/>
      <c r="J16" s="585"/>
    </row>
    <row r="17" spans="1:10" s="637" customFormat="1" ht="28.15" customHeight="1" x14ac:dyDescent="0.25">
      <c r="A17" s="571" t="s">
        <v>133</v>
      </c>
      <c r="B17" s="572" t="s">
        <v>25</v>
      </c>
      <c r="C17" s="744" t="s">
        <v>953</v>
      </c>
      <c r="D17" s="744"/>
      <c r="E17" s="744"/>
      <c r="F17" s="744"/>
      <c r="G17" s="744"/>
      <c r="H17" s="744"/>
      <c r="I17" s="744"/>
      <c r="J17" s="745"/>
    </row>
    <row r="18" spans="1:10" s="637" customFormat="1" x14ac:dyDescent="0.25">
      <c r="A18" s="571"/>
      <c r="B18" s="572"/>
      <c r="C18" s="572"/>
      <c r="D18" s="584"/>
      <c r="E18" s="584"/>
      <c r="F18" s="584"/>
      <c r="G18" s="584"/>
      <c r="H18" s="584"/>
      <c r="I18" s="584"/>
      <c r="J18" s="585"/>
    </row>
    <row r="19" spans="1:10" s="637" customFormat="1" ht="32.450000000000003" customHeight="1" x14ac:dyDescent="0.25">
      <c r="A19" s="571" t="s">
        <v>265</v>
      </c>
      <c r="B19" s="572" t="s">
        <v>25</v>
      </c>
      <c r="C19" s="744" t="s">
        <v>954</v>
      </c>
      <c r="D19" s="744"/>
      <c r="E19" s="744"/>
      <c r="F19" s="744"/>
      <c r="G19" s="744"/>
      <c r="H19" s="744"/>
      <c r="I19" s="744"/>
      <c r="J19" s="745"/>
    </row>
    <row r="20" spans="1:10" ht="15.75" thickBot="1" x14ac:dyDescent="0.3">
      <c r="A20" s="620"/>
      <c r="B20" s="473"/>
      <c r="C20" s="621"/>
      <c r="D20" s="514"/>
      <c r="E20" s="621"/>
      <c r="F20" s="514"/>
      <c r="G20" s="516"/>
      <c r="H20" s="516"/>
      <c r="I20" s="516"/>
      <c r="J20" s="570"/>
    </row>
    <row r="21" spans="1:10" ht="15.75" thickBot="1" x14ac:dyDescent="0.3">
      <c r="A21" s="489" t="s">
        <v>137</v>
      </c>
      <c r="B21" s="490"/>
      <c r="C21" s="491"/>
      <c r="D21" s="491"/>
      <c r="E21" s="491"/>
      <c r="F21" s="491"/>
      <c r="G21" s="517"/>
      <c r="H21" s="517"/>
      <c r="I21" s="517"/>
      <c r="J21" s="573"/>
    </row>
    <row r="23" spans="1:10" s="574" customFormat="1" x14ac:dyDescent="0.25">
      <c r="A23" s="574" t="s">
        <v>13</v>
      </c>
      <c r="C23" s="548" t="s">
        <v>955</v>
      </c>
    </row>
    <row r="24" spans="1:10" s="574" customFormat="1" x14ac:dyDescent="0.25">
      <c r="B24" s="576"/>
      <c r="C24" s="577" t="s">
        <v>956</v>
      </c>
    </row>
    <row r="25" spans="1:10" s="574" customFormat="1" x14ac:dyDescent="0.25">
      <c r="B25" s="576"/>
      <c r="C25" s="638" t="s">
        <v>957</v>
      </c>
    </row>
    <row r="26" spans="1:10" s="574" customFormat="1" x14ac:dyDescent="0.25">
      <c r="B26" s="576"/>
      <c r="C26" s="638" t="s">
        <v>958</v>
      </c>
    </row>
    <row r="27" spans="1:10" s="574" customFormat="1" x14ac:dyDescent="0.25">
      <c r="B27" s="576"/>
      <c r="C27" s="577" t="s">
        <v>959</v>
      </c>
    </row>
    <row r="28" spans="1:10" s="574" customFormat="1" x14ac:dyDescent="0.25">
      <c r="B28" s="576"/>
      <c r="C28" s="640" t="s">
        <v>960</v>
      </c>
    </row>
    <row r="29" spans="1:10" s="574" customFormat="1" x14ac:dyDescent="0.25">
      <c r="B29" s="578"/>
      <c r="C29" s="641" t="s">
        <v>961</v>
      </c>
    </row>
    <row r="30" spans="1:10" s="574" customFormat="1" x14ac:dyDescent="0.25">
      <c r="B30" s="578"/>
      <c r="C30" s="641" t="s">
        <v>962</v>
      </c>
    </row>
    <row r="31" spans="1:10" s="574" customFormat="1" x14ac:dyDescent="0.25">
      <c r="B31" s="578"/>
      <c r="C31" s="641" t="s">
        <v>963</v>
      </c>
    </row>
    <row r="32" spans="1:10" x14ac:dyDescent="0.25">
      <c r="B32" s="575">
        <v>0.25</v>
      </c>
      <c r="C32" s="574" t="s">
        <v>964</v>
      </c>
      <c r="D32" s="496" t="s">
        <v>276</v>
      </c>
    </row>
    <row r="33" spans="1:4" x14ac:dyDescent="0.25">
      <c r="C33" s="574" t="s">
        <v>965</v>
      </c>
      <c r="D33" s="496" t="s">
        <v>278</v>
      </c>
    </row>
    <row r="34" spans="1:4" x14ac:dyDescent="0.25">
      <c r="C34" s="574" t="s">
        <v>966</v>
      </c>
      <c r="D34" s="496" t="s">
        <v>967</v>
      </c>
    </row>
    <row r="35" spans="1:4" x14ac:dyDescent="0.25">
      <c r="B35" s="575">
        <v>0.25</v>
      </c>
      <c r="C35" s="574" t="s">
        <v>968</v>
      </c>
    </row>
    <row r="37" spans="1:4" x14ac:dyDescent="0.25">
      <c r="C37" s="574" t="s">
        <v>520</v>
      </c>
    </row>
    <row r="38" spans="1:4" x14ac:dyDescent="0.25">
      <c r="C38" s="574"/>
    </row>
    <row r="39" spans="1:4" x14ac:dyDescent="0.25">
      <c r="B39" s="575"/>
      <c r="C39" s="496" t="s">
        <v>964</v>
      </c>
      <c r="D39" s="496" t="s">
        <v>969</v>
      </c>
    </row>
    <row r="40" spans="1:4" x14ac:dyDescent="0.25">
      <c r="C40" s="496" t="s">
        <v>965</v>
      </c>
      <c r="D40" s="496" t="s">
        <v>967</v>
      </c>
    </row>
    <row r="41" spans="1:4" x14ac:dyDescent="0.25">
      <c r="B41" s="575"/>
      <c r="C41" s="496" t="s">
        <v>970</v>
      </c>
    </row>
    <row r="43" spans="1:4" x14ac:dyDescent="0.25">
      <c r="A43" s="496" t="s">
        <v>27</v>
      </c>
      <c r="B43" s="575">
        <v>0.5</v>
      </c>
      <c r="C43" s="548" t="s">
        <v>971</v>
      </c>
    </row>
    <row r="44" spans="1:4" x14ac:dyDescent="0.25">
      <c r="C44" s="548" t="s">
        <v>972</v>
      </c>
    </row>
    <row r="45" spans="1:4" x14ac:dyDescent="0.25">
      <c r="C45" s="496" t="s">
        <v>973</v>
      </c>
    </row>
    <row r="46" spans="1:4" x14ac:dyDescent="0.25">
      <c r="C46" s="496" t="s">
        <v>974</v>
      </c>
    </row>
    <row r="47" spans="1:4" x14ac:dyDescent="0.25">
      <c r="C47" s="496" t="s">
        <v>975</v>
      </c>
    </row>
    <row r="48" spans="1:4" x14ac:dyDescent="0.25">
      <c r="C48" s="548" t="s">
        <v>976</v>
      </c>
    </row>
    <row r="49" spans="1:3" x14ac:dyDescent="0.25">
      <c r="C49" s="548"/>
    </row>
    <row r="50" spans="1:3" x14ac:dyDescent="0.25">
      <c r="A50" s="496" t="s">
        <v>133</v>
      </c>
      <c r="C50" s="548" t="s">
        <v>977</v>
      </c>
    </row>
    <row r="51" spans="1:3" x14ac:dyDescent="0.25">
      <c r="B51" s="575">
        <v>0.25</v>
      </c>
      <c r="C51" s="496" t="s">
        <v>978</v>
      </c>
    </row>
    <row r="52" spans="1:3" x14ac:dyDescent="0.25">
      <c r="B52" s="575">
        <v>0.25</v>
      </c>
      <c r="C52" s="496" t="s">
        <v>979</v>
      </c>
    </row>
    <row r="53" spans="1:3" x14ac:dyDescent="0.25">
      <c r="C53" s="496" t="s">
        <v>520</v>
      </c>
    </row>
    <row r="54" spans="1:3" x14ac:dyDescent="0.25">
      <c r="C54" s="496" t="s">
        <v>980</v>
      </c>
    </row>
    <row r="55" spans="1:3" x14ac:dyDescent="0.25">
      <c r="C55" s="496" t="s">
        <v>981</v>
      </c>
    </row>
    <row r="57" spans="1:3" x14ac:dyDescent="0.25">
      <c r="A57" s="496" t="s">
        <v>265</v>
      </c>
      <c r="C57" s="548" t="s">
        <v>982</v>
      </c>
    </row>
    <row r="58" spans="1:3" x14ac:dyDescent="0.25">
      <c r="B58" s="575">
        <v>0.25</v>
      </c>
      <c r="C58" s="496" t="s">
        <v>978</v>
      </c>
    </row>
    <row r="59" spans="1:3" x14ac:dyDescent="0.25">
      <c r="B59" s="575">
        <v>0.25</v>
      </c>
      <c r="C59" s="496" t="s">
        <v>983</v>
      </c>
    </row>
    <row r="60" spans="1:3" x14ac:dyDescent="0.25">
      <c r="C60" s="496" t="s">
        <v>520</v>
      </c>
    </row>
    <row r="61" spans="1:3" x14ac:dyDescent="0.25">
      <c r="C61" s="496" t="s">
        <v>984</v>
      </c>
    </row>
    <row r="62" spans="1:3" x14ac:dyDescent="0.25">
      <c r="C62" s="496" t="s">
        <v>985</v>
      </c>
    </row>
    <row r="63" spans="1:3" x14ac:dyDescent="0.25">
      <c r="C63" s="496" t="s">
        <v>986</v>
      </c>
    </row>
  </sheetData>
  <mergeCells count="6">
    <mergeCell ref="C19:J19"/>
    <mergeCell ref="C3:J3"/>
    <mergeCell ref="C4:J4"/>
    <mergeCell ref="C13:J13"/>
    <mergeCell ref="C15:J15"/>
    <mergeCell ref="C17:J17"/>
  </mergeCells>
  <conditionalFormatting sqref="B29:B31">
    <cfRule type="expression" dxfId="11" priority="1">
      <formula>CELL("protect",B29)=1</formula>
    </cfRule>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57FC0-C3BD-4B34-99B0-B4696CB0EB7F}">
  <dimension ref="A1:J61"/>
  <sheetViews>
    <sheetView topLeftCell="A19" zoomScale="80" zoomScaleNormal="80" workbookViewId="0">
      <selection activeCell="G25" sqref="G25"/>
    </sheetView>
  </sheetViews>
  <sheetFormatPr defaultColWidth="11.42578125" defaultRowHeight="15" x14ac:dyDescent="0.25"/>
  <cols>
    <col min="1" max="1" width="4.42578125" style="643" customWidth="1"/>
    <col min="2" max="2" width="13.5703125" style="672" customWidth="1"/>
    <col min="3" max="8" width="21.28515625" style="643" customWidth="1"/>
    <col min="9" max="10" width="10.7109375" style="643" customWidth="1"/>
    <col min="11" max="16384" width="11.42578125" style="496"/>
  </cols>
  <sheetData>
    <row r="1" spans="1:9" x14ac:dyDescent="0.25">
      <c r="A1" s="467"/>
      <c r="B1" s="468" t="s">
        <v>500</v>
      </c>
      <c r="C1" s="469"/>
      <c r="D1" s="469"/>
      <c r="E1" s="469"/>
      <c r="F1" s="469"/>
      <c r="G1" s="469"/>
      <c r="H1" s="469"/>
      <c r="I1" s="642"/>
    </row>
    <row r="2" spans="1:9" x14ac:dyDescent="0.25">
      <c r="A2" s="467"/>
      <c r="B2" s="468"/>
      <c r="C2" s="469"/>
      <c r="D2" s="469"/>
      <c r="E2" s="469"/>
      <c r="F2" s="469"/>
      <c r="G2" s="469"/>
      <c r="H2" s="469"/>
      <c r="I2" s="642"/>
    </row>
    <row r="3" spans="1:9" x14ac:dyDescent="0.25">
      <c r="A3" s="472"/>
      <c r="B3" s="473"/>
      <c r="C3" s="747" t="s">
        <v>987</v>
      </c>
      <c r="D3" s="747"/>
      <c r="E3" s="747"/>
      <c r="F3" s="747"/>
      <c r="G3" s="747"/>
      <c r="H3" s="747"/>
      <c r="I3" s="748"/>
    </row>
    <row r="4" spans="1:9" s="643" customFormat="1" x14ac:dyDescent="0.25">
      <c r="A4" s="474"/>
      <c r="B4" s="644"/>
      <c r="C4" s="645"/>
      <c r="D4" s="646"/>
      <c r="E4" s="646"/>
      <c r="F4" s="646"/>
      <c r="G4" s="646"/>
      <c r="H4" s="646"/>
      <c r="I4" s="642"/>
    </row>
    <row r="5" spans="1:9" s="643" customFormat="1" x14ac:dyDescent="0.25">
      <c r="A5" s="474"/>
      <c r="B5" s="644"/>
      <c r="C5" s="645" t="s">
        <v>988</v>
      </c>
      <c r="D5" s="646"/>
      <c r="E5" s="646"/>
      <c r="F5" s="647"/>
      <c r="G5" s="646"/>
      <c r="H5" s="646"/>
      <c r="I5" s="642"/>
    </row>
    <row r="6" spans="1:9" s="643" customFormat="1" x14ac:dyDescent="0.25">
      <c r="A6" s="474"/>
      <c r="B6" s="644"/>
      <c r="C6" s="648" t="s">
        <v>989</v>
      </c>
      <c r="D6" s="649"/>
      <c r="E6" s="649"/>
      <c r="F6" s="650"/>
      <c r="G6" s="651">
        <v>365000</v>
      </c>
      <c r="H6" s="646"/>
      <c r="I6" s="642"/>
    </row>
    <row r="7" spans="1:9" s="643" customFormat="1" x14ac:dyDescent="0.25">
      <c r="A7" s="474"/>
      <c r="B7" s="644"/>
      <c r="C7" s="746" t="s">
        <v>990</v>
      </c>
      <c r="D7" s="746"/>
      <c r="E7" s="746"/>
      <c r="F7" s="746"/>
      <c r="G7" s="652">
        <v>358</v>
      </c>
      <c r="H7" s="646"/>
      <c r="I7" s="642"/>
    </row>
    <row r="8" spans="1:9" s="643" customFormat="1" x14ac:dyDescent="0.25">
      <c r="A8" s="474"/>
      <c r="B8" s="644"/>
      <c r="C8" s="746" t="s">
        <v>991</v>
      </c>
      <c r="D8" s="746"/>
      <c r="E8" s="746"/>
      <c r="F8" s="746"/>
      <c r="G8" s="652">
        <v>250</v>
      </c>
      <c r="H8" s="646"/>
      <c r="I8" s="642"/>
    </row>
    <row r="9" spans="1:9" s="643" customFormat="1" x14ac:dyDescent="0.25">
      <c r="A9" s="474"/>
      <c r="B9" s="644"/>
      <c r="C9" s="653" t="s">
        <v>992</v>
      </c>
      <c r="D9" s="653"/>
      <c r="E9" s="653"/>
      <c r="F9" s="653"/>
      <c r="G9" s="654"/>
      <c r="H9" s="646"/>
      <c r="I9" s="642"/>
    </row>
    <row r="10" spans="1:9" s="643" customFormat="1" x14ac:dyDescent="0.25">
      <c r="A10" s="474"/>
      <c r="B10" s="644"/>
      <c r="C10" s="653" t="s">
        <v>993</v>
      </c>
      <c r="D10" s="653"/>
      <c r="E10" s="653"/>
      <c r="F10" s="653"/>
      <c r="G10" s="654"/>
      <c r="H10" s="646"/>
      <c r="I10" s="642"/>
    </row>
    <row r="11" spans="1:9" s="643" customFormat="1" x14ac:dyDescent="0.25">
      <c r="A11" s="474"/>
      <c r="B11" s="644"/>
      <c r="C11" s="653"/>
      <c r="D11" s="653"/>
      <c r="E11" s="653"/>
      <c r="F11" s="653"/>
      <c r="G11" s="655"/>
      <c r="H11" s="646"/>
      <c r="I11" s="642"/>
    </row>
    <row r="12" spans="1:9" s="643" customFormat="1" ht="13.9" customHeight="1" x14ac:dyDescent="0.25">
      <c r="A12" s="474"/>
      <c r="B12" s="644"/>
      <c r="C12" s="656" t="s">
        <v>994</v>
      </c>
      <c r="D12" s="646"/>
      <c r="E12" s="646"/>
      <c r="F12" s="646"/>
      <c r="G12" s="657"/>
      <c r="H12" s="646"/>
      <c r="I12" s="642"/>
    </row>
    <row r="13" spans="1:9" s="643" customFormat="1" x14ac:dyDescent="0.25">
      <c r="A13" s="474"/>
      <c r="B13" s="644"/>
      <c r="C13" s="658" t="s">
        <v>995</v>
      </c>
      <c r="D13" s="659">
        <v>0.5</v>
      </c>
      <c r="E13" s="659">
        <v>1.5</v>
      </c>
      <c r="F13" s="659">
        <v>2.5</v>
      </c>
      <c r="G13" s="660">
        <v>3.5</v>
      </c>
      <c r="H13" s="661"/>
      <c r="I13" s="642"/>
    </row>
    <row r="14" spans="1:9" s="643" customFormat="1" x14ac:dyDescent="0.25">
      <c r="A14" s="474"/>
      <c r="B14" s="644"/>
      <c r="C14" s="658" t="s">
        <v>631</v>
      </c>
      <c r="D14" s="662">
        <v>0.52</v>
      </c>
      <c r="E14" s="662">
        <v>0.2</v>
      </c>
      <c r="F14" s="662">
        <v>0.2</v>
      </c>
      <c r="G14" s="663">
        <v>0.08</v>
      </c>
      <c r="H14" s="646"/>
      <c r="I14" s="642"/>
    </row>
    <row r="15" spans="1:9" s="643" customFormat="1" x14ac:dyDescent="0.25">
      <c r="A15" s="474"/>
      <c r="B15" s="644"/>
      <c r="C15" s="645"/>
      <c r="D15" s="664"/>
      <c r="E15" s="664"/>
      <c r="F15" s="664"/>
      <c r="G15" s="665"/>
      <c r="H15" s="646"/>
      <c r="I15" s="642"/>
    </row>
    <row r="16" spans="1:9" s="643" customFormat="1" x14ac:dyDescent="0.25">
      <c r="A16" s="474"/>
      <c r="B16" s="644"/>
      <c r="C16" s="746" t="s">
        <v>996</v>
      </c>
      <c r="D16" s="746"/>
      <c r="E16" s="746"/>
      <c r="F16" s="746"/>
      <c r="G16" s="652">
        <v>30000000</v>
      </c>
      <c r="H16" s="646"/>
      <c r="I16" s="642"/>
    </row>
    <row r="17" spans="1:9" s="643" customFormat="1" x14ac:dyDescent="0.25">
      <c r="A17" s="474"/>
      <c r="B17" s="644"/>
      <c r="C17" s="666" t="s">
        <v>997</v>
      </c>
      <c r="D17" s="666"/>
      <c r="E17" s="666"/>
      <c r="F17" s="666"/>
      <c r="G17" s="652">
        <v>58000000</v>
      </c>
      <c r="H17" s="646"/>
      <c r="I17" s="642"/>
    </row>
    <row r="18" spans="1:9" s="643" customFormat="1" x14ac:dyDescent="0.25">
      <c r="A18" s="474"/>
      <c r="B18" s="644"/>
      <c r="C18" s="746" t="s">
        <v>998</v>
      </c>
      <c r="D18" s="746"/>
      <c r="E18" s="746"/>
      <c r="F18" s="746"/>
      <c r="G18" s="667">
        <v>0.06</v>
      </c>
      <c r="H18" s="646"/>
      <c r="I18" s="642"/>
    </row>
    <row r="19" spans="1:9" s="643" customFormat="1" x14ac:dyDescent="0.25">
      <c r="A19" s="474"/>
      <c r="B19" s="644"/>
      <c r="C19" s="746" t="s">
        <v>999</v>
      </c>
      <c r="D19" s="746"/>
      <c r="E19" s="746"/>
      <c r="F19" s="746"/>
      <c r="G19" s="667">
        <v>0.05</v>
      </c>
      <c r="H19" s="646"/>
      <c r="I19" s="642"/>
    </row>
    <row r="20" spans="1:9" s="643" customFormat="1" x14ac:dyDescent="0.25">
      <c r="A20" s="474"/>
      <c r="B20" s="644"/>
      <c r="C20" s="746" t="s">
        <v>1000</v>
      </c>
      <c r="D20" s="746"/>
      <c r="E20" s="746"/>
      <c r="F20" s="746"/>
      <c r="G20" s="667">
        <v>4.4999999999999998E-2</v>
      </c>
      <c r="H20" s="646"/>
      <c r="I20" s="642"/>
    </row>
    <row r="21" spans="1:9" s="643" customFormat="1" x14ac:dyDescent="0.25">
      <c r="A21" s="474"/>
      <c r="B21" s="644"/>
      <c r="C21" s="653"/>
      <c r="D21" s="653"/>
      <c r="E21" s="653"/>
      <c r="F21" s="653"/>
      <c r="G21" s="668"/>
      <c r="H21" s="646"/>
      <c r="I21" s="642"/>
    </row>
    <row r="22" spans="1:9" s="643" customFormat="1" x14ac:dyDescent="0.25">
      <c r="A22" s="474" t="s">
        <v>13</v>
      </c>
      <c r="B22" s="669" t="s">
        <v>1001</v>
      </c>
      <c r="C22" s="645" t="s">
        <v>1002</v>
      </c>
      <c r="D22" s="645"/>
      <c r="E22" s="645"/>
      <c r="F22" s="645"/>
      <c r="G22" s="645"/>
      <c r="H22" s="645"/>
      <c r="I22" s="670"/>
    </row>
    <row r="23" spans="1:9" s="643" customFormat="1" x14ac:dyDescent="0.25">
      <c r="A23" s="474"/>
      <c r="B23" s="669"/>
      <c r="C23" s="645"/>
      <c r="D23" s="645"/>
      <c r="E23" s="645"/>
      <c r="F23" s="645"/>
      <c r="G23" s="645"/>
      <c r="H23" s="645"/>
      <c r="I23" s="670"/>
    </row>
    <row r="24" spans="1:9" s="643" customFormat="1" x14ac:dyDescent="0.25">
      <c r="A24" s="474" t="s">
        <v>27</v>
      </c>
      <c r="B24" s="669" t="s">
        <v>1003</v>
      </c>
      <c r="C24" s="645" t="s">
        <v>1004</v>
      </c>
      <c r="D24" s="645"/>
      <c r="E24" s="645"/>
      <c r="F24" s="645"/>
      <c r="G24" s="645"/>
      <c r="H24" s="645"/>
      <c r="I24" s="670"/>
    </row>
    <row r="25" spans="1:9" s="643" customFormat="1" ht="15.75" thickBot="1" x14ac:dyDescent="0.3">
      <c r="A25" s="474"/>
      <c r="B25" s="644"/>
      <c r="C25" s="488"/>
      <c r="D25" s="646"/>
      <c r="E25" s="646"/>
      <c r="F25" s="646"/>
      <c r="G25" s="646"/>
      <c r="H25" s="646"/>
      <c r="I25" s="642"/>
    </row>
    <row r="26" spans="1:9" s="643" customFormat="1" ht="15.75" thickBot="1" x14ac:dyDescent="0.3">
      <c r="A26" s="489" t="s">
        <v>137</v>
      </c>
      <c r="B26" s="490"/>
      <c r="C26" s="491"/>
      <c r="D26" s="491"/>
      <c r="E26" s="491"/>
      <c r="F26" s="491"/>
      <c r="G26" s="491"/>
      <c r="H26" s="491"/>
      <c r="I26" s="671"/>
    </row>
    <row r="27" spans="1:9" s="643" customFormat="1" x14ac:dyDescent="0.25">
      <c r="A27" s="519"/>
      <c r="B27" s="672"/>
      <c r="C27" s="676"/>
      <c r="D27" s="521"/>
      <c r="E27" s="521"/>
      <c r="F27" s="521"/>
      <c r="G27" s="521"/>
      <c r="H27" s="521"/>
    </row>
    <row r="28" spans="1:9" x14ac:dyDescent="0.25">
      <c r="A28" s="643" t="s">
        <v>13</v>
      </c>
      <c r="B28" s="673">
        <v>1.5</v>
      </c>
      <c r="C28" s="495" t="s">
        <v>1005</v>
      </c>
    </row>
    <row r="29" spans="1:9" x14ac:dyDescent="0.25">
      <c r="B29" s="673"/>
      <c r="C29" s="674" t="s">
        <v>1006</v>
      </c>
    </row>
    <row r="30" spans="1:9" x14ac:dyDescent="0.25">
      <c r="C30" s="674"/>
      <c r="D30" s="643" t="s">
        <v>1007</v>
      </c>
      <c r="E30" s="675" t="s">
        <v>1008</v>
      </c>
      <c r="F30" s="643" t="s">
        <v>1009</v>
      </c>
      <c r="G30" s="643" t="s">
        <v>1010</v>
      </c>
      <c r="H30" s="643" t="s">
        <v>1011</v>
      </c>
    </row>
    <row r="31" spans="1:9" x14ac:dyDescent="0.25">
      <c r="C31" s="676" t="s">
        <v>1012</v>
      </c>
      <c r="D31" s="677">
        <f>D14</f>
        <v>0.52</v>
      </c>
      <c r="E31" s="677">
        <f>E14</f>
        <v>0.2</v>
      </c>
      <c r="F31" s="677">
        <f>F14</f>
        <v>0.2</v>
      </c>
      <c r="G31" s="677">
        <f>G14</f>
        <v>0.08</v>
      </c>
      <c r="H31" s="677">
        <v>0</v>
      </c>
    </row>
    <row r="32" spans="1:9" x14ac:dyDescent="0.25">
      <c r="C32" s="643" t="s">
        <v>1013</v>
      </c>
      <c r="E32" s="677">
        <f>E31/(1-$D$31)</f>
        <v>0.41666666666666669</v>
      </c>
      <c r="F32" s="677">
        <f>F31/(1-$D$31)</f>
        <v>0.41666666666666669</v>
      </c>
      <c r="G32" s="677">
        <f>G31/(1-$D$31)</f>
        <v>0.16666666666666669</v>
      </c>
      <c r="H32" s="677">
        <f>H31/(1-$D$31)</f>
        <v>0</v>
      </c>
    </row>
    <row r="33" spans="3:8" x14ac:dyDescent="0.25">
      <c r="C33" s="674" t="s">
        <v>1014</v>
      </c>
      <c r="E33" s="677"/>
      <c r="F33" s="677"/>
      <c r="G33" s="677"/>
      <c r="H33" s="677"/>
    </row>
    <row r="34" spans="3:8" x14ac:dyDescent="0.25">
      <c r="C34" s="643" t="s">
        <v>1015</v>
      </c>
      <c r="D34" s="678"/>
      <c r="E34" s="677"/>
      <c r="F34" s="677"/>
      <c r="G34" s="677"/>
      <c r="H34" s="677"/>
    </row>
    <row r="35" spans="3:8" x14ac:dyDescent="0.25">
      <c r="C35" s="643" t="s">
        <v>1016</v>
      </c>
      <c r="D35" s="679">
        <f>G16</f>
        <v>30000000</v>
      </c>
      <c r="E35" s="677"/>
      <c r="F35" s="677"/>
      <c r="G35" s="677"/>
      <c r="H35" s="677"/>
    </row>
    <row r="36" spans="3:8" x14ac:dyDescent="0.25">
      <c r="C36" s="643" t="s">
        <v>1017</v>
      </c>
      <c r="D36" s="690">
        <f>G17</f>
        <v>58000000</v>
      </c>
      <c r="E36" s="678"/>
      <c r="F36" s="677"/>
      <c r="G36" s="677"/>
      <c r="H36" s="677"/>
    </row>
    <row r="37" spans="3:8" x14ac:dyDescent="0.25">
      <c r="C37" s="643" t="s">
        <v>1018</v>
      </c>
      <c r="D37" s="679">
        <f>D36-D35</f>
        <v>28000000</v>
      </c>
      <c r="E37" s="677"/>
      <c r="F37" s="677"/>
      <c r="G37" s="677"/>
      <c r="H37" s="677"/>
    </row>
    <row r="38" spans="3:8" x14ac:dyDescent="0.25">
      <c r="C38" s="674" t="s">
        <v>1019</v>
      </c>
    </row>
    <row r="39" spans="3:8" x14ac:dyDescent="0.25">
      <c r="D39" s="680"/>
      <c r="E39" s="680">
        <v>0.5</v>
      </c>
      <c r="F39" s="680">
        <f>E39+1</f>
        <v>1.5</v>
      </c>
      <c r="G39" s="680">
        <f>F39+1</f>
        <v>2.5</v>
      </c>
      <c r="H39" s="680">
        <f>G39+1</f>
        <v>3.5</v>
      </c>
    </row>
    <row r="40" spans="3:8" x14ac:dyDescent="0.25">
      <c r="C40" s="681" t="s">
        <v>1020</v>
      </c>
      <c r="E40" s="682">
        <f>$D$37*E32</f>
        <v>11666666.666666668</v>
      </c>
      <c r="F40" s="682">
        <f>$D$37*F32</f>
        <v>11666666.666666668</v>
      </c>
      <c r="G40" s="682">
        <f>$D$37*G32</f>
        <v>4666666.666666667</v>
      </c>
      <c r="H40" s="682">
        <f>$D$37*H32</f>
        <v>0</v>
      </c>
    </row>
    <row r="41" spans="3:8" x14ac:dyDescent="0.25">
      <c r="C41" s="674" t="s">
        <v>1021</v>
      </c>
      <c r="D41" s="682"/>
      <c r="E41" s="682"/>
      <c r="F41" s="682"/>
      <c r="G41" s="682"/>
      <c r="H41" s="682"/>
    </row>
    <row r="42" spans="3:8" x14ac:dyDescent="0.25">
      <c r="C42" s="681" t="s">
        <v>1022</v>
      </c>
      <c r="D42" s="683">
        <f>(1+$G$20)^(-D39)</f>
        <v>1</v>
      </c>
      <c r="E42" s="683">
        <f>(1+$G$20)^(-E39)</f>
        <v>0.978231976089037</v>
      </c>
      <c r="F42" s="683">
        <f>(1+$G$20)^(-F39)</f>
        <v>0.9361071541521887</v>
      </c>
      <c r="G42" s="683">
        <f>(1+$G$20)^(-G39)</f>
        <v>0.89579631976286</v>
      </c>
      <c r="H42" s="683">
        <f>(1+$G$20)^(-H39)</f>
        <v>0.85722135862474647</v>
      </c>
    </row>
    <row r="43" spans="3:8" x14ac:dyDescent="0.25">
      <c r="C43" s="681" t="s">
        <v>1023</v>
      </c>
      <c r="D43" s="682">
        <f>D42*D40</f>
        <v>0</v>
      </c>
      <c r="E43" s="682">
        <f>E42*E40</f>
        <v>11412706.387705432</v>
      </c>
      <c r="F43" s="682">
        <f>F42*F40</f>
        <v>10921250.131775536</v>
      </c>
      <c r="G43" s="682">
        <f>G42*G40</f>
        <v>4180382.8255600138</v>
      </c>
      <c r="H43" s="682">
        <f>H42*H40</f>
        <v>0</v>
      </c>
    </row>
    <row r="44" spans="3:8" x14ac:dyDescent="0.25">
      <c r="C44" s="681" t="s">
        <v>1024</v>
      </c>
      <c r="D44" s="682">
        <f>SUM(D43:H43)</f>
        <v>26514339.345040981</v>
      </c>
      <c r="E44" s="683"/>
      <c r="F44" s="683"/>
      <c r="G44" s="683"/>
      <c r="H44" s="683"/>
    </row>
    <row r="45" spans="3:8" x14ac:dyDescent="0.25">
      <c r="C45" s="674" t="s">
        <v>1025</v>
      </c>
      <c r="D45" s="682"/>
      <c r="E45" s="683"/>
      <c r="F45" s="683"/>
      <c r="G45" s="683"/>
      <c r="H45" s="683"/>
    </row>
    <row r="46" spans="3:8" x14ac:dyDescent="0.25">
      <c r="C46" s="681" t="s">
        <v>1026</v>
      </c>
      <c r="D46" s="682">
        <f>D44*(1+G18)</f>
        <v>28105199.705743439</v>
      </c>
      <c r="E46" s="683"/>
      <c r="F46" s="683"/>
      <c r="G46" s="683"/>
      <c r="H46" s="683"/>
    </row>
    <row r="47" spans="3:8" x14ac:dyDescent="0.25">
      <c r="C47" s="674" t="s">
        <v>1027</v>
      </c>
      <c r="D47" s="682"/>
      <c r="E47" s="683"/>
      <c r="F47" s="683"/>
      <c r="G47" s="683"/>
      <c r="H47" s="683"/>
    </row>
    <row r="48" spans="3:8" x14ac:dyDescent="0.25">
      <c r="C48" s="681" t="s">
        <v>1028</v>
      </c>
      <c r="D48" s="682">
        <f>D46*(1+G19)</f>
        <v>29510459.691030614</v>
      </c>
      <c r="E48" s="683"/>
      <c r="F48" s="683"/>
      <c r="G48" s="683"/>
      <c r="H48" s="683"/>
    </row>
    <row r="49" spans="1:8" x14ac:dyDescent="0.25">
      <c r="C49" s="681"/>
      <c r="D49" s="682"/>
      <c r="E49" s="683"/>
      <c r="F49" s="683"/>
      <c r="G49" s="683"/>
      <c r="H49" s="683"/>
    </row>
    <row r="50" spans="1:8" x14ac:dyDescent="0.25">
      <c r="A50" s="643" t="s">
        <v>27</v>
      </c>
      <c r="B50" s="673">
        <v>1</v>
      </c>
      <c r="C50" s="495" t="s">
        <v>1005</v>
      </c>
    </row>
    <row r="51" spans="1:8" x14ac:dyDescent="0.25">
      <c r="C51" s="674"/>
      <c r="D51" s="684"/>
    </row>
    <row r="52" spans="1:8" x14ac:dyDescent="0.25">
      <c r="C52" s="643" t="s">
        <v>1029</v>
      </c>
      <c r="D52" s="684">
        <f>G7*G6</f>
        <v>130670000</v>
      </c>
    </row>
    <row r="53" spans="1:8" x14ac:dyDescent="0.25">
      <c r="C53" s="674" t="s">
        <v>1030</v>
      </c>
      <c r="D53" s="684"/>
    </row>
    <row r="54" spans="1:8" x14ac:dyDescent="0.25">
      <c r="C54" s="643" t="s">
        <v>1031</v>
      </c>
      <c r="D54" s="684">
        <f>D52/2</f>
        <v>65335000</v>
      </c>
    </row>
    <row r="55" spans="1:8" x14ac:dyDescent="0.25">
      <c r="C55" s="674" t="s">
        <v>1032</v>
      </c>
      <c r="D55" s="684"/>
    </row>
    <row r="56" spans="1:8" x14ac:dyDescent="0.25">
      <c r="C56" s="681" t="s">
        <v>1017</v>
      </c>
      <c r="D56" s="684">
        <f>G17</f>
        <v>58000000</v>
      </c>
    </row>
    <row r="57" spans="1:8" x14ac:dyDescent="0.25">
      <c r="C57" s="681" t="s">
        <v>1033</v>
      </c>
      <c r="D57" s="677">
        <f>D56/D54</f>
        <v>0.88773245580469884</v>
      </c>
      <c r="E57" s="685"/>
    </row>
    <row r="58" spans="1:8" x14ac:dyDescent="0.25">
      <c r="C58" s="674" t="s">
        <v>1034</v>
      </c>
      <c r="D58" s="677"/>
    </row>
    <row r="59" spans="1:8" x14ac:dyDescent="0.25">
      <c r="C59" s="681" t="s">
        <v>1035</v>
      </c>
      <c r="D59" s="677">
        <f>G8/G7</f>
        <v>0.6983240223463687</v>
      </c>
    </row>
    <row r="60" spans="1:8" x14ac:dyDescent="0.25">
      <c r="C60" s="674" t="s">
        <v>1036</v>
      </c>
      <c r="D60" s="677"/>
    </row>
    <row r="61" spans="1:8" x14ac:dyDescent="0.25">
      <c r="C61" s="681" t="s">
        <v>1037</v>
      </c>
      <c r="D61" s="677"/>
    </row>
  </sheetData>
  <mergeCells count="7">
    <mergeCell ref="C20:F20"/>
    <mergeCell ref="C3:I3"/>
    <mergeCell ref="C7:F7"/>
    <mergeCell ref="C8:F8"/>
    <mergeCell ref="C16:F16"/>
    <mergeCell ref="C18:F18"/>
    <mergeCell ref="C19:F19"/>
  </mergeCells>
  <conditionalFormatting sqref="B28:B29 C29:C30 C55:C56">
    <cfRule type="expression" dxfId="10" priority="11">
      <formula>CELL("protect",B28)=1</formula>
    </cfRule>
  </conditionalFormatting>
  <conditionalFormatting sqref="B50">
    <cfRule type="expression" dxfId="9" priority="1">
      <formula>CELL("protect",B50)=1</formula>
    </cfRule>
  </conditionalFormatting>
  <conditionalFormatting sqref="C33">
    <cfRule type="expression" dxfId="8" priority="9">
      <formula>CELL("protect",C33)=1</formula>
    </cfRule>
  </conditionalFormatting>
  <conditionalFormatting sqref="C38">
    <cfRule type="expression" dxfId="7" priority="10">
      <formula>CELL("protect",C38)=1</formula>
    </cfRule>
  </conditionalFormatting>
  <conditionalFormatting sqref="C41">
    <cfRule type="expression" dxfId="6" priority="8">
      <formula>CELL("protect",C41)=1</formula>
    </cfRule>
  </conditionalFormatting>
  <conditionalFormatting sqref="C45">
    <cfRule type="expression" dxfId="5" priority="7">
      <formula>CELL("protect",C45)=1</formula>
    </cfRule>
  </conditionalFormatting>
  <conditionalFormatting sqref="C47">
    <cfRule type="expression" dxfId="4" priority="6">
      <formula>CELL("protect",C47)=1</formula>
    </cfRule>
  </conditionalFormatting>
  <conditionalFormatting sqref="C51">
    <cfRule type="expression" dxfId="3" priority="5">
      <formula>CELL("protect",C51)=1</formula>
    </cfRule>
  </conditionalFormatting>
  <conditionalFormatting sqref="C53">
    <cfRule type="expression" dxfId="2" priority="2">
      <formula>CELL("protect",C53)=1</formula>
    </cfRule>
  </conditionalFormatting>
  <conditionalFormatting sqref="C58">
    <cfRule type="expression" dxfId="1" priority="3">
      <formula>CELL("protect",C58)=1</formula>
    </cfRule>
  </conditionalFormatting>
  <conditionalFormatting sqref="C60">
    <cfRule type="expression" dxfId="0" priority="4">
      <formula>CELL("protect",C60)=1</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Sample-1</vt:lpstr>
      <vt:lpstr>Sample-2</vt:lpstr>
      <vt:lpstr>Sample-3</vt:lpstr>
      <vt:lpstr>Sample-4</vt:lpstr>
      <vt:lpstr>Sample-5</vt:lpstr>
      <vt:lpstr>Sample-6</vt:lpstr>
      <vt:lpstr>Sample-7</vt:lpstr>
      <vt:lpstr>Sample-8</vt:lpstr>
      <vt:lpstr>Sample-9</vt:lpstr>
      <vt:lpstr>Sample-10</vt:lpstr>
      <vt:lpstr>Sample-11</vt:lpstr>
      <vt:lpstr>Sample-12</vt:lpstr>
      <vt:lpstr>Sample-13</vt:lpstr>
      <vt:lpstr>Sample-14</vt:lpstr>
      <vt:lpstr>Sample-15</vt:lpstr>
      <vt:lpstr>Sample-16</vt:lpstr>
      <vt:lpstr>Sample-17</vt:lpstr>
      <vt:lpstr>Sample-18</vt:lpstr>
      <vt:lpstr>Sample-19</vt:lpstr>
      <vt:lpstr>Sample-20</vt:lpstr>
      <vt:lpstr>Sample-21</vt:lpstr>
      <vt:lpstr>Sample-22</vt:lpstr>
      <vt:lpstr>Sample-23</vt:lpstr>
      <vt:lpstr>Sample-24</vt:lpstr>
      <vt:lpstr>Sample-25</vt:lpstr>
      <vt:lpstr>'Sample-11'!Print_Area</vt:lpstr>
      <vt:lpstr>'Sample-14'!Print_Area</vt:lpstr>
      <vt:lpstr>'Sample-16'!Print_Area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2024-08-28T17:28:09Z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ies>
</file>