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195" windowHeight="9210"/>
  </bookViews>
  <sheets>
    <sheet name="Notes" sheetId="24" r:id="rId1"/>
    <sheet name="Input" sheetId="1" r:id="rId2"/>
    <sheet name="Paid Tria" sheetId="2" r:id="rId3"/>
    <sheet name="Paid Interp Using Methods" sheetId="21" r:id="rId4"/>
    <sheet name="Inc Tria" sheetId="17" r:id="rId5"/>
    <sheet name="Incrd Interp Using Methods" sheetId="22" r:id="rId6"/>
    <sheet name="Case" sheetId="15" r:id="rId7"/>
    <sheet name="Case Over Paid" sheetId="5" r:id="rId8"/>
    <sheet name="Paid over Disposed" sheetId="4" r:id="rId9"/>
  </sheets>
  <definedNames>
    <definedName name="_xlnm.Print_Area" localSheetId="6">Case!$A$1:$K$25</definedName>
    <definedName name="_xlnm.Print_Area" localSheetId="7">'Case Over Paid'!$A$1:$K$43</definedName>
    <definedName name="_xlnm.Print_Area" localSheetId="4">'Inc Tria'!$A$1:$K$60</definedName>
    <definedName name="_xlnm.Print_Area" localSheetId="1">Input!$A$1:$CO$14</definedName>
    <definedName name="_xlnm.Print_Area" localSheetId="8">'Paid over Disposed'!$A$1:$K$34</definedName>
    <definedName name="_xlnm.Print_Area" localSheetId="2">'Paid Tria'!$A$1:$K$52</definedName>
  </definedNames>
  <calcPr calcId="125725"/>
</workbook>
</file>

<file path=xl/calcChain.xml><?xml version="1.0" encoding="utf-8"?>
<calcChain xmlns="http://schemas.openxmlformats.org/spreadsheetml/2006/main">
  <c r="AB11" i="21"/>
  <c r="AA11"/>
  <c r="AB10"/>
  <c r="V10"/>
  <c r="B58" i="17"/>
  <c r="B57"/>
  <c r="AD5" i="1"/>
  <c r="AE5"/>
  <c r="AF5"/>
  <c r="AG5"/>
  <c r="AH5"/>
  <c r="AI5"/>
  <c r="AJ5"/>
  <c r="AK5"/>
  <c r="AL5"/>
  <c r="AD6"/>
  <c r="AE6"/>
  <c r="AF6"/>
  <c r="AG6"/>
  <c r="AH6"/>
  <c r="AI6"/>
  <c r="AJ6"/>
  <c r="AK6"/>
  <c r="AL6"/>
  <c r="AD7"/>
  <c r="AE7"/>
  <c r="AF7"/>
  <c r="AG7"/>
  <c r="AH7"/>
  <c r="AI7"/>
  <c r="AJ7"/>
  <c r="AK7"/>
  <c r="AL7"/>
  <c r="AD8"/>
  <c r="AE8"/>
  <c r="AF8"/>
  <c r="AG8"/>
  <c r="AH8"/>
  <c r="AI8"/>
  <c r="AJ8"/>
  <c r="AK8"/>
  <c r="AL8"/>
  <c r="AD9"/>
  <c r="AE9"/>
  <c r="AF9"/>
  <c r="AG9"/>
  <c r="AH9"/>
  <c r="AI9"/>
  <c r="AJ9"/>
  <c r="AK9"/>
  <c r="AL9"/>
  <c r="AD10"/>
  <c r="AE10"/>
  <c r="AF10"/>
  <c r="AG10"/>
  <c r="AH10"/>
  <c r="AI10"/>
  <c r="AJ10"/>
  <c r="AK10"/>
  <c r="AL10"/>
  <c r="AD11"/>
  <c r="AE11"/>
  <c r="AF11"/>
  <c r="AG11"/>
  <c r="AH11"/>
  <c r="AI11"/>
  <c r="AJ11"/>
  <c r="AK11"/>
  <c r="AL11"/>
  <c r="AD12"/>
  <c r="AE12"/>
  <c r="AF12"/>
  <c r="AG12"/>
  <c r="AH12"/>
  <c r="AI12"/>
  <c r="AJ12"/>
  <c r="AK12"/>
  <c r="AL12"/>
  <c r="AD13"/>
  <c r="AE13"/>
  <c r="AF13"/>
  <c r="AG13"/>
  <c r="AH13"/>
  <c r="AI13"/>
  <c r="AJ13"/>
  <c r="AK13"/>
  <c r="AL13"/>
  <c r="AD14"/>
  <c r="AE14"/>
  <c r="AF14"/>
  <c r="AG14"/>
  <c r="AH14"/>
  <c r="AI14"/>
  <c r="AJ14"/>
  <c r="AK14"/>
  <c r="AL14"/>
  <c r="AC14"/>
  <c r="AC6"/>
  <c r="AC7"/>
  <c r="AC8"/>
  <c r="AC9"/>
  <c r="AC10"/>
  <c r="AC11"/>
  <c r="AC12"/>
  <c r="AC13"/>
  <c r="AC5"/>
  <c r="Q5"/>
  <c r="R5"/>
  <c r="S5"/>
  <c r="T5"/>
  <c r="U5"/>
  <c r="V5"/>
  <c r="W5"/>
  <c r="X5"/>
  <c r="Y5"/>
  <c r="Q6"/>
  <c r="R6"/>
  <c r="S6"/>
  <c r="T6"/>
  <c r="U6"/>
  <c r="V6"/>
  <c r="W6"/>
  <c r="X6"/>
  <c r="Y6"/>
  <c r="Q7"/>
  <c r="R7"/>
  <c r="S7"/>
  <c r="T7"/>
  <c r="U7"/>
  <c r="V7"/>
  <c r="W7"/>
  <c r="X7"/>
  <c r="Y7"/>
  <c r="Q8"/>
  <c r="R8"/>
  <c r="S8"/>
  <c r="T8"/>
  <c r="U8"/>
  <c r="V8"/>
  <c r="W8"/>
  <c r="X8"/>
  <c r="Y8"/>
  <c r="Q9"/>
  <c r="R9"/>
  <c r="S9"/>
  <c r="T9"/>
  <c r="U9"/>
  <c r="V9"/>
  <c r="W9"/>
  <c r="X9"/>
  <c r="Y9"/>
  <c r="Q10"/>
  <c r="R10"/>
  <c r="S10"/>
  <c r="T10"/>
  <c r="U10"/>
  <c r="V10"/>
  <c r="W10"/>
  <c r="X10"/>
  <c r="Y10"/>
  <c r="Q11"/>
  <c r="R11"/>
  <c r="S11"/>
  <c r="T11"/>
  <c r="U11"/>
  <c r="V11"/>
  <c r="W11"/>
  <c r="X11"/>
  <c r="Y11"/>
  <c r="Q12"/>
  <c r="R12"/>
  <c r="S12"/>
  <c r="T12"/>
  <c r="U12"/>
  <c r="V12"/>
  <c r="W12"/>
  <c r="X12"/>
  <c r="Y12"/>
  <c r="Q13"/>
  <c r="R13"/>
  <c r="S13"/>
  <c r="T13"/>
  <c r="U13"/>
  <c r="V13"/>
  <c r="W13"/>
  <c r="X13"/>
  <c r="Y13"/>
  <c r="Q14"/>
  <c r="R14"/>
  <c r="S14"/>
  <c r="T14"/>
  <c r="U14"/>
  <c r="V14"/>
  <c r="W14"/>
  <c r="X14"/>
  <c r="Y14"/>
  <c r="P6"/>
  <c r="P7"/>
  <c r="P8"/>
  <c r="P9"/>
  <c r="P10"/>
  <c r="P11"/>
  <c r="P12"/>
  <c r="P13"/>
  <c r="P14"/>
  <c r="P5"/>
  <c r="L14"/>
  <c r="K13"/>
  <c r="L13"/>
  <c r="J12"/>
  <c r="K12"/>
  <c r="L12"/>
  <c r="I11"/>
  <c r="J11"/>
  <c r="K11"/>
  <c r="L11"/>
  <c r="H10"/>
  <c r="I10"/>
  <c r="J10"/>
  <c r="K10"/>
  <c r="L10"/>
  <c r="G9"/>
  <c r="H9"/>
  <c r="I9"/>
  <c r="J9"/>
  <c r="K9"/>
  <c r="L9"/>
  <c r="F8"/>
  <c r="G8"/>
  <c r="H8"/>
  <c r="I8"/>
  <c r="J8"/>
  <c r="K8"/>
  <c r="L8"/>
  <c r="E7"/>
  <c r="F7"/>
  <c r="G7"/>
  <c r="H7"/>
  <c r="I7"/>
  <c r="J7"/>
  <c r="K7"/>
  <c r="L7"/>
  <c r="D6"/>
  <c r="E6"/>
  <c r="F6"/>
  <c r="G6"/>
  <c r="H6"/>
  <c r="I6"/>
  <c r="J6"/>
  <c r="K6"/>
  <c r="L6"/>
  <c r="D5"/>
  <c r="E5"/>
  <c r="F5"/>
  <c r="G5"/>
  <c r="H5"/>
  <c r="I5"/>
  <c r="J5"/>
  <c r="K5"/>
  <c r="L5"/>
  <c r="C5"/>
  <c r="D2"/>
  <c r="E2" s="1"/>
  <c r="F2" s="1"/>
  <c r="G2" s="1"/>
  <c r="H2" s="1"/>
  <c r="I2" s="1"/>
  <c r="J2" s="1"/>
  <c r="K2" s="1"/>
  <c r="L2" s="1"/>
  <c r="O6" l="1"/>
  <c r="AB6" s="1"/>
  <c r="BE6" s="1"/>
  <c r="BR6" s="1"/>
  <c r="CE6" s="1"/>
  <c r="B6"/>
  <c r="B7" s="1"/>
  <c r="O5"/>
  <c r="AB5" s="1"/>
  <c r="BE5" s="1"/>
  <c r="BR5" s="1"/>
  <c r="CE5" s="1"/>
  <c r="I34" i="22"/>
  <c r="A38"/>
  <c r="A39" s="1"/>
  <c r="G37"/>
  <c r="A15"/>
  <c r="A16" s="1"/>
  <c r="A17" s="1"/>
  <c r="N1"/>
  <c r="G37" i="21"/>
  <c r="A38"/>
  <c r="AB34"/>
  <c r="W34"/>
  <c r="V34"/>
  <c r="T34"/>
  <c r="S34"/>
  <c r="N34"/>
  <c r="O34" s="1"/>
  <c r="W33"/>
  <c r="T33"/>
  <c r="S33"/>
  <c r="O33"/>
  <c r="W11"/>
  <c r="W10"/>
  <c r="T11"/>
  <c r="T10"/>
  <c r="S11"/>
  <c r="U11" s="1"/>
  <c r="V11" s="1"/>
  <c r="S10"/>
  <c r="O11"/>
  <c r="O10"/>
  <c r="N11"/>
  <c r="A15"/>
  <c r="G15" s="1"/>
  <c r="N1"/>
  <c r="B44" i="17"/>
  <c r="K1" i="15"/>
  <c r="C12"/>
  <c r="D12" s="1"/>
  <c r="E12" s="1"/>
  <c r="F12" s="1"/>
  <c r="G12" s="1"/>
  <c r="H12" s="1"/>
  <c r="I12" s="1"/>
  <c r="J12" s="1"/>
  <c r="K12" s="1"/>
  <c r="K1" i="5"/>
  <c r="C12"/>
  <c r="D12" s="1"/>
  <c r="E12" s="1"/>
  <c r="F12" s="1"/>
  <c r="G12" s="1"/>
  <c r="H12" s="1"/>
  <c r="I12" s="1"/>
  <c r="J12" s="1"/>
  <c r="K12" s="1"/>
  <c r="K1" i="17"/>
  <c r="C12"/>
  <c r="D12"/>
  <c r="E12" s="1"/>
  <c r="F12" s="1"/>
  <c r="G12" s="1"/>
  <c r="H12" s="1"/>
  <c r="I12" s="1"/>
  <c r="J12" s="1"/>
  <c r="K12" s="1"/>
  <c r="B14"/>
  <c r="C14"/>
  <c r="D14"/>
  <c r="E14"/>
  <c r="F14"/>
  <c r="G14"/>
  <c r="H14"/>
  <c r="I14"/>
  <c r="J14"/>
  <c r="K14"/>
  <c r="B15"/>
  <c r="C15"/>
  <c r="D15"/>
  <c r="E15"/>
  <c r="F15"/>
  <c r="G15"/>
  <c r="H15"/>
  <c r="I15"/>
  <c r="J15"/>
  <c r="B16"/>
  <c r="C16"/>
  <c r="D16"/>
  <c r="E16"/>
  <c r="F16"/>
  <c r="G16"/>
  <c r="H16"/>
  <c r="I16"/>
  <c r="B17"/>
  <c r="C17"/>
  <c r="D17"/>
  <c r="E17"/>
  <c r="F17"/>
  <c r="G17"/>
  <c r="H17"/>
  <c r="B18"/>
  <c r="C18"/>
  <c r="D18"/>
  <c r="E18"/>
  <c r="F18"/>
  <c r="G18"/>
  <c r="B19"/>
  <c r="C19"/>
  <c r="D19"/>
  <c r="E19"/>
  <c r="F19"/>
  <c r="B20"/>
  <c r="C20"/>
  <c r="D20"/>
  <c r="E20"/>
  <c r="B21"/>
  <c r="C21"/>
  <c r="D21"/>
  <c r="B22"/>
  <c r="C22"/>
  <c r="B23"/>
  <c r="C28"/>
  <c r="D28" s="1"/>
  <c r="E28"/>
  <c r="F28" s="1"/>
  <c r="G28" s="1"/>
  <c r="H28" s="1"/>
  <c r="I28"/>
  <c r="J28" s="1"/>
  <c r="BS49" i="1"/>
  <c r="BQ51"/>
  <c r="BS56"/>
  <c r="BT56" s="1"/>
  <c r="BU56" s="1"/>
  <c r="BV56" s="1"/>
  <c r="BW56" s="1"/>
  <c r="BX56" s="1"/>
  <c r="BY56" s="1"/>
  <c r="BZ56" s="1"/>
  <c r="CA56" s="1"/>
  <c r="BR58"/>
  <c r="BS58"/>
  <c r="BT58"/>
  <c r="BU58"/>
  <c r="BV58"/>
  <c r="BW58"/>
  <c r="BX58"/>
  <c r="BY58"/>
  <c r="BZ58"/>
  <c r="CA58"/>
  <c r="BR59"/>
  <c r="BS59"/>
  <c r="BT59"/>
  <c r="BU59"/>
  <c r="BV59"/>
  <c r="BW59"/>
  <c r="BX59"/>
  <c r="BY59"/>
  <c r="BZ59"/>
  <c r="BR60"/>
  <c r="BS60"/>
  <c r="BT60"/>
  <c r="BU60"/>
  <c r="BV60"/>
  <c r="BW60"/>
  <c r="BX60"/>
  <c r="BY60"/>
  <c r="BR61"/>
  <c r="BS61"/>
  <c r="BT61"/>
  <c r="BU61"/>
  <c r="BV61"/>
  <c r="BW61"/>
  <c r="BX61"/>
  <c r="BR62"/>
  <c r="BS62"/>
  <c r="BT62"/>
  <c r="BU62"/>
  <c r="BV62"/>
  <c r="BW62"/>
  <c r="BR63"/>
  <c r="BS63"/>
  <c r="BT63"/>
  <c r="BU63"/>
  <c r="BV63"/>
  <c r="BR64"/>
  <c r="BS64"/>
  <c r="BT64"/>
  <c r="BU64"/>
  <c r="BR65"/>
  <c r="BS65"/>
  <c r="BT65"/>
  <c r="BR66"/>
  <c r="BS66"/>
  <c r="BR67"/>
  <c r="K1" i="4"/>
  <c r="C12"/>
  <c r="D12" s="1"/>
  <c r="E12"/>
  <c r="F12" s="1"/>
  <c r="G12" s="1"/>
  <c r="H12" s="1"/>
  <c r="I12" s="1"/>
  <c r="J12" s="1"/>
  <c r="K12" s="1"/>
  <c r="K1" i="2"/>
  <c r="A2"/>
  <c r="A2" i="4" s="1"/>
  <c r="C12" i="2"/>
  <c r="D12" s="1"/>
  <c r="E12" s="1"/>
  <c r="F12" s="1"/>
  <c r="G12" s="1"/>
  <c r="H12" s="1"/>
  <c r="I12" s="1"/>
  <c r="J12" s="1"/>
  <c r="K12" s="1"/>
  <c r="A14"/>
  <c r="A15" s="1"/>
  <c r="A16" s="1"/>
  <c r="A17" s="1"/>
  <c r="A18" s="1"/>
  <c r="A19" s="1"/>
  <c r="A20" s="1"/>
  <c r="A21" s="1"/>
  <c r="A22" s="1"/>
  <c r="A23" s="1"/>
  <c r="B14"/>
  <c r="C14"/>
  <c r="D14"/>
  <c r="E14"/>
  <c r="F14"/>
  <c r="G14"/>
  <c r="H14"/>
  <c r="I14"/>
  <c r="J14"/>
  <c r="K14"/>
  <c r="B15"/>
  <c r="C15"/>
  <c r="D15"/>
  <c r="E15"/>
  <c r="F15"/>
  <c r="G15"/>
  <c r="H15"/>
  <c r="I15"/>
  <c r="J15"/>
  <c r="B16"/>
  <c r="C16"/>
  <c r="D16"/>
  <c r="E16"/>
  <c r="F16"/>
  <c r="G16"/>
  <c r="H16"/>
  <c r="I16"/>
  <c r="B17"/>
  <c r="C17"/>
  <c r="D17"/>
  <c r="E17"/>
  <c r="F17"/>
  <c r="G17"/>
  <c r="H17"/>
  <c r="B18"/>
  <c r="C18"/>
  <c r="D18"/>
  <c r="E18"/>
  <c r="F18"/>
  <c r="G18"/>
  <c r="B19"/>
  <c r="C19"/>
  <c r="D19"/>
  <c r="E19"/>
  <c r="F19"/>
  <c r="B20"/>
  <c r="C20"/>
  <c r="D20"/>
  <c r="E20"/>
  <c r="B21"/>
  <c r="C21"/>
  <c r="D21"/>
  <c r="B22"/>
  <c r="C22"/>
  <c r="B23"/>
  <c r="C28"/>
  <c r="D28"/>
  <c r="E28" s="1"/>
  <c r="F28" s="1"/>
  <c r="G28" s="1"/>
  <c r="H28" s="1"/>
  <c r="I28" s="1"/>
  <c r="J28" s="1"/>
  <c r="A49"/>
  <c r="G32" l="1"/>
  <c r="O7" i="1"/>
  <c r="AB7" s="1"/>
  <c r="BE7" s="1"/>
  <c r="BR7" s="1"/>
  <c r="CE7" s="1"/>
  <c r="B8"/>
  <c r="F33" i="2"/>
  <c r="C33"/>
  <c r="I30" i="17"/>
  <c r="C35"/>
  <c r="E34"/>
  <c r="G30"/>
  <c r="D32" i="2"/>
  <c r="B31"/>
  <c r="E30"/>
  <c r="A30"/>
  <c r="A31" s="1"/>
  <c r="A32" s="1"/>
  <c r="A33" s="1"/>
  <c r="A34" s="1"/>
  <c r="A35" s="1"/>
  <c r="A36" s="1"/>
  <c r="A37" s="1"/>
  <c r="A38" s="1"/>
  <c r="C35"/>
  <c r="E34"/>
  <c r="D33"/>
  <c r="F32"/>
  <c r="B32"/>
  <c r="G31"/>
  <c r="C31"/>
  <c r="G30"/>
  <c r="C30"/>
  <c r="BQ58" i="1"/>
  <c r="BQ59" s="1"/>
  <c r="BQ60" s="1"/>
  <c r="BQ61" s="1"/>
  <c r="BQ62" s="1"/>
  <c r="BQ63" s="1"/>
  <c r="BQ64" s="1"/>
  <c r="BQ65" s="1"/>
  <c r="BQ66" s="1"/>
  <c r="BQ67" s="1"/>
  <c r="A14" i="4"/>
  <c r="I31" i="2"/>
  <c r="F34"/>
  <c r="B34"/>
  <c r="B33"/>
  <c r="C32"/>
  <c r="E31"/>
  <c r="H30"/>
  <c r="D30"/>
  <c r="C34"/>
  <c r="F31"/>
  <c r="I30"/>
  <c r="I42"/>
  <c r="C36" i="17"/>
  <c r="C2" i="21"/>
  <c r="C2" i="22"/>
  <c r="I42" i="17"/>
  <c r="B37"/>
  <c r="D32"/>
  <c r="A18" i="22"/>
  <c r="G17"/>
  <c r="A40"/>
  <c r="G39"/>
  <c r="G15"/>
  <c r="A39" i="21"/>
  <c r="G39" s="1"/>
  <c r="A16"/>
  <c r="A17" s="1"/>
  <c r="G17" s="1"/>
  <c r="B35" i="2"/>
  <c r="H32" i="17"/>
  <c r="B36"/>
  <c r="D33"/>
  <c r="I31"/>
  <c r="E31"/>
  <c r="C30"/>
  <c r="E41" i="2"/>
  <c r="E45" s="1"/>
  <c r="H31"/>
  <c r="F31" i="17"/>
  <c r="B31"/>
  <c r="E35"/>
  <c r="C34"/>
  <c r="E30"/>
  <c r="G33" i="2"/>
  <c r="H32"/>
  <c r="J30"/>
  <c r="J42" s="1"/>
  <c r="B30"/>
  <c r="B37"/>
  <c r="B42"/>
  <c r="E33"/>
  <c r="F42"/>
  <c r="B42" i="17"/>
  <c r="D42" i="2"/>
  <c r="B36"/>
  <c r="D31"/>
  <c r="D36"/>
  <c r="D35"/>
  <c r="D35" i="17"/>
  <c r="F41"/>
  <c r="F45" s="1"/>
  <c r="E32"/>
  <c r="H30"/>
  <c r="D30"/>
  <c r="H42" i="2"/>
  <c r="B38"/>
  <c r="D34"/>
  <c r="F30"/>
  <c r="B41" i="17"/>
  <c r="B45" s="1"/>
  <c r="A14" i="15"/>
  <c r="A14" i="17"/>
  <c r="A15" s="1"/>
  <c r="A16" s="1"/>
  <c r="A17" s="1"/>
  <c r="A18" s="1"/>
  <c r="A19" s="1"/>
  <c r="A20" s="1"/>
  <c r="A21" s="1"/>
  <c r="A22" s="1"/>
  <c r="A23" s="1"/>
  <c r="A30"/>
  <c r="A31" s="1"/>
  <c r="A32" s="1"/>
  <c r="A33" s="1"/>
  <c r="A34" s="1"/>
  <c r="A35" s="1"/>
  <c r="A36" s="1"/>
  <c r="A37" s="1"/>
  <c r="A38" s="1"/>
  <c r="E20" i="15"/>
  <c r="E20" i="5" s="1"/>
  <c r="D36" i="17"/>
  <c r="D41"/>
  <c r="D45" s="1"/>
  <c r="C19" i="15"/>
  <c r="B35" i="17"/>
  <c r="G41" i="2"/>
  <c r="G45" s="1"/>
  <c r="C41"/>
  <c r="C45" s="1"/>
  <c r="C37"/>
  <c r="C36"/>
  <c r="E32"/>
  <c r="F18" i="15"/>
  <c r="F34" i="17"/>
  <c r="B18" i="15"/>
  <c r="B34" i="17"/>
  <c r="G42" i="2"/>
  <c r="C42"/>
  <c r="H41"/>
  <c r="H45" s="1"/>
  <c r="D41"/>
  <c r="D45" s="1"/>
  <c r="E35"/>
  <c r="A2" i="15"/>
  <c r="A2" i="5"/>
  <c r="A2" i="17"/>
  <c r="F17" i="15"/>
  <c r="F33" i="17"/>
  <c r="E33"/>
  <c r="B17" i="15"/>
  <c r="B33" i="17"/>
  <c r="D21" i="15"/>
  <c r="D21" i="5" s="1"/>
  <c r="C42" i="17"/>
  <c r="C37"/>
  <c r="G16" i="15"/>
  <c r="G32" i="17"/>
  <c r="F32"/>
  <c r="F42"/>
  <c r="C16" i="15"/>
  <c r="C32" i="17"/>
  <c r="B32"/>
  <c r="H15" i="15"/>
  <c r="H31" i="17"/>
  <c r="G31"/>
  <c r="H41"/>
  <c r="H45" s="1"/>
  <c r="G42"/>
  <c r="G41"/>
  <c r="G45" s="1"/>
  <c r="E42" i="2"/>
  <c r="F41"/>
  <c r="F45" s="1"/>
  <c r="B41"/>
  <c r="B45" s="1"/>
  <c r="E42" i="17"/>
  <c r="D15" i="15"/>
  <c r="K14"/>
  <c r="K14" i="5" s="1"/>
  <c r="G14" i="15"/>
  <c r="C14"/>
  <c r="B23"/>
  <c r="B23" i="5" s="1"/>
  <c r="C41" i="17"/>
  <c r="C45" s="1"/>
  <c r="B20" i="15"/>
  <c r="D19"/>
  <c r="G18"/>
  <c r="G18" i="5" s="1"/>
  <c r="C18" i="15"/>
  <c r="G17"/>
  <c r="C17"/>
  <c r="H16"/>
  <c r="D16"/>
  <c r="I15"/>
  <c r="E15"/>
  <c r="H14"/>
  <c r="D14"/>
  <c r="H17"/>
  <c r="H17" i="5" s="1"/>
  <c r="J15" i="15"/>
  <c r="J15" i="5" s="1"/>
  <c r="C31" i="17"/>
  <c r="B22" i="15"/>
  <c r="B21"/>
  <c r="C20"/>
  <c r="E19"/>
  <c r="D18"/>
  <c r="D17"/>
  <c r="I16"/>
  <c r="I16" i="5" s="1"/>
  <c r="E16" i="15"/>
  <c r="F15"/>
  <c r="B15"/>
  <c r="I14"/>
  <c r="E14"/>
  <c r="F19"/>
  <c r="F19" i="5" s="1"/>
  <c r="H42" i="17"/>
  <c r="D42"/>
  <c r="E41"/>
  <c r="E45" s="1"/>
  <c r="B38"/>
  <c r="D34"/>
  <c r="G33"/>
  <c r="C33"/>
  <c r="D31"/>
  <c r="J30"/>
  <c r="F30"/>
  <c r="B30"/>
  <c r="C22" i="15"/>
  <c r="C22" i="5" s="1"/>
  <c r="C21" i="15"/>
  <c r="D20"/>
  <c r="B19"/>
  <c r="E18"/>
  <c r="E17"/>
  <c r="F16"/>
  <c r="B16"/>
  <c r="G15"/>
  <c r="C15"/>
  <c r="J14"/>
  <c r="F14"/>
  <c r="B14"/>
  <c r="I41" i="2" l="1"/>
  <c r="I45" s="1"/>
  <c r="I41" i="17"/>
  <c r="I45" s="1"/>
  <c r="D43" i="2"/>
  <c r="I43" i="17"/>
  <c r="B9" i="1"/>
  <c r="O8"/>
  <c r="AB8" s="1"/>
  <c r="BE8" s="1"/>
  <c r="BR8" s="1"/>
  <c r="CE8" s="1"/>
  <c r="G43" i="2"/>
  <c r="F43"/>
  <c r="J43"/>
  <c r="B43" i="17"/>
  <c r="H43"/>
  <c r="I43" i="2"/>
  <c r="D43" i="17"/>
  <c r="E43" i="2"/>
  <c r="C43" i="17"/>
  <c r="E43"/>
  <c r="A15" i="15"/>
  <c r="A16" s="1"/>
  <c r="A17" s="1"/>
  <c r="A18" s="1"/>
  <c r="A19" s="1"/>
  <c r="A20" s="1"/>
  <c r="A21" s="1"/>
  <c r="A22" s="1"/>
  <c r="A23" s="1"/>
  <c r="A14" i="5"/>
  <c r="A19" i="22"/>
  <c r="A41"/>
  <c r="A42" s="1"/>
  <c r="A20"/>
  <c r="G19"/>
  <c r="A40" i="21"/>
  <c r="A18"/>
  <c r="A19" s="1"/>
  <c r="B43" i="2"/>
  <c r="C43"/>
  <c r="H43"/>
  <c r="D37" i="4"/>
  <c r="F43" i="17"/>
  <c r="G15" i="5"/>
  <c r="H15" i="4"/>
  <c r="E17" i="5"/>
  <c r="F17" i="4"/>
  <c r="J43" i="17"/>
  <c r="J42"/>
  <c r="D17" i="5"/>
  <c r="E17" i="4"/>
  <c r="J14" i="5"/>
  <c r="J31" s="1"/>
  <c r="J41" s="1"/>
  <c r="K14" i="4"/>
  <c r="K27" s="1"/>
  <c r="F16" i="5"/>
  <c r="G16" i="4"/>
  <c r="D20" i="5"/>
  <c r="D37" s="1"/>
  <c r="E20" i="4"/>
  <c r="I14" i="5"/>
  <c r="J14" i="4"/>
  <c r="C20" i="5"/>
  <c r="D20" i="4"/>
  <c r="D14" i="5"/>
  <c r="E14" i="4"/>
  <c r="D16" i="5"/>
  <c r="E16" i="4"/>
  <c r="C18" i="5"/>
  <c r="D18" i="4"/>
  <c r="F17" i="5"/>
  <c r="G17" i="4"/>
  <c r="G43" i="17"/>
  <c r="B16" i="5"/>
  <c r="C16" i="4"/>
  <c r="B19" i="5"/>
  <c r="C19" i="4"/>
  <c r="E14" i="5"/>
  <c r="F14" i="4"/>
  <c r="E16" i="5"/>
  <c r="F16" i="4"/>
  <c r="E19" i="5"/>
  <c r="E36" s="1"/>
  <c r="F19" i="4"/>
  <c r="I15" i="5"/>
  <c r="I32" s="1"/>
  <c r="J15" i="4"/>
  <c r="G17" i="5"/>
  <c r="G34" s="1"/>
  <c r="H17" i="4"/>
  <c r="B20" i="5"/>
  <c r="C20" i="4"/>
  <c r="G14" i="5"/>
  <c r="G31" s="1"/>
  <c r="H14" i="4"/>
  <c r="D15" i="5"/>
  <c r="E15" i="4"/>
  <c r="B18" i="5"/>
  <c r="C18" i="4"/>
  <c r="C19" i="5"/>
  <c r="D19" i="4"/>
  <c r="J41" i="2"/>
  <c r="J45" s="1"/>
  <c r="F14" i="5"/>
  <c r="G14" i="4"/>
  <c r="B14" i="5"/>
  <c r="C14" i="4"/>
  <c r="E18" i="5"/>
  <c r="F18" i="4"/>
  <c r="F15" i="5"/>
  <c r="G15" i="4"/>
  <c r="D18" i="5"/>
  <c r="E18" i="4"/>
  <c r="B22" i="5"/>
  <c r="B39" s="1"/>
  <c r="C22" i="4"/>
  <c r="E15" i="5"/>
  <c r="F15" i="4"/>
  <c r="C17" i="5"/>
  <c r="D17" i="4"/>
  <c r="D19" i="5"/>
  <c r="E19" i="4"/>
  <c r="C14" i="5"/>
  <c r="D14" i="4"/>
  <c r="H15" i="5"/>
  <c r="I15" i="4"/>
  <c r="C15" i="5"/>
  <c r="D15" i="4"/>
  <c r="C21" i="5"/>
  <c r="C38" s="1"/>
  <c r="D21" i="4"/>
  <c r="B15" i="5"/>
  <c r="C15" i="4"/>
  <c r="B21" i="5"/>
  <c r="C21" i="4"/>
  <c r="H14" i="5"/>
  <c r="I14" i="4"/>
  <c r="H16" i="5"/>
  <c r="H33" s="1"/>
  <c r="I16" i="4"/>
  <c r="C16" i="5"/>
  <c r="D16" i="4"/>
  <c r="G16" i="5"/>
  <c r="H16" i="4"/>
  <c r="B17" i="5"/>
  <c r="C17" i="4"/>
  <c r="F18" i="5"/>
  <c r="F35" s="1"/>
  <c r="G18" i="4"/>
  <c r="O9" i="1" l="1"/>
  <c r="AB9" s="1"/>
  <c r="BE9" s="1"/>
  <c r="BR9" s="1"/>
  <c r="CE9" s="1"/>
  <c r="B10"/>
  <c r="C36" i="5"/>
  <c r="C34"/>
  <c r="F32"/>
  <c r="B35"/>
  <c r="D33"/>
  <c r="D36"/>
  <c r="E32"/>
  <c r="G41" i="22"/>
  <c r="A43"/>
  <c r="G43" s="1"/>
  <c r="A21"/>
  <c r="G21" s="1"/>
  <c r="A22"/>
  <c r="A41" i="21"/>
  <c r="G41" s="1"/>
  <c r="A20"/>
  <c r="G19"/>
  <c r="G33" i="5"/>
  <c r="C46"/>
  <c r="K45" i="2" s="1"/>
  <c r="K47" s="1"/>
  <c r="J41" i="17"/>
  <c r="J45" s="1"/>
  <c r="B34" i="5"/>
  <c r="C33"/>
  <c r="H31"/>
  <c r="B32"/>
  <c r="D32"/>
  <c r="E33"/>
  <c r="B38"/>
  <c r="F31"/>
  <c r="G27" i="4"/>
  <c r="C32" i="5"/>
  <c r="I27" i="4"/>
  <c r="D27"/>
  <c r="E35" i="5"/>
  <c r="C27" i="4"/>
  <c r="H27"/>
  <c r="F27"/>
  <c r="J27"/>
  <c r="H32" i="5"/>
  <c r="B37"/>
  <c r="B36"/>
  <c r="C35"/>
  <c r="D31"/>
  <c r="C37"/>
  <c r="G32"/>
  <c r="D35"/>
  <c r="E27" i="4"/>
  <c r="C31" i="5"/>
  <c r="B31"/>
  <c r="E31"/>
  <c r="B33"/>
  <c r="F34"/>
  <c r="I31"/>
  <c r="I41" s="1"/>
  <c r="F33"/>
  <c r="D34"/>
  <c r="E34"/>
  <c r="G41" l="1"/>
  <c r="B11" i="1"/>
  <c r="O10"/>
  <c r="AB10" s="1"/>
  <c r="BE10" s="1"/>
  <c r="BR10" s="1"/>
  <c r="CE10" s="1"/>
  <c r="K45" i="17"/>
  <c r="K47" s="1"/>
  <c r="A44" i="22"/>
  <c r="A45"/>
  <c r="G45" s="1"/>
  <c r="A42" i="21"/>
  <c r="A21"/>
  <c r="K49" i="17"/>
  <c r="K51" s="1"/>
  <c r="J47" i="2"/>
  <c r="B22" i="21" s="1"/>
  <c r="H41" i="5"/>
  <c r="F41"/>
  <c r="E41"/>
  <c r="C41"/>
  <c r="B41"/>
  <c r="D41"/>
  <c r="O11" i="1" l="1"/>
  <c r="AB11" s="1"/>
  <c r="BE11" s="1"/>
  <c r="BR11" s="1"/>
  <c r="CE11" s="1"/>
  <c r="B12"/>
  <c r="J47" i="17"/>
  <c r="B22" i="22" s="1"/>
  <c r="C22" s="1"/>
  <c r="K50" i="17"/>
  <c r="K53" s="1"/>
  <c r="C22" i="21"/>
  <c r="J22"/>
  <c r="B45"/>
  <c r="C45" s="1"/>
  <c r="D45" s="1"/>
  <c r="E45" s="1"/>
  <c r="F45" s="1"/>
  <c r="A43"/>
  <c r="G43" s="1"/>
  <c r="A22"/>
  <c r="G21"/>
  <c r="J49" i="17"/>
  <c r="J51" s="1"/>
  <c r="I47" i="2"/>
  <c r="B21" i="21" s="1"/>
  <c r="A15" i="5"/>
  <c r="B13" i="1" l="1"/>
  <c r="O12"/>
  <c r="AB12" s="1"/>
  <c r="BE12" s="1"/>
  <c r="BR12" s="1"/>
  <c r="CE12" s="1"/>
  <c r="K52" i="17"/>
  <c r="K54" s="1"/>
  <c r="B45" i="22"/>
  <c r="C45" s="1"/>
  <c r="D45" s="1"/>
  <c r="E45" s="1"/>
  <c r="F45" s="1"/>
  <c r="J50" i="17"/>
  <c r="J52" s="1"/>
  <c r="J22" i="22"/>
  <c r="I47" i="17"/>
  <c r="B21" i="22" s="1"/>
  <c r="B44" s="1"/>
  <c r="C21" i="21"/>
  <c r="D21" s="1"/>
  <c r="E21" s="1"/>
  <c r="F21" s="1"/>
  <c r="B44"/>
  <c r="A44"/>
  <c r="H47" i="2"/>
  <c r="B20" i="21" s="1"/>
  <c r="I49" i="17"/>
  <c r="I51" s="1"/>
  <c r="A16" i="5"/>
  <c r="A17" s="1"/>
  <c r="A18" s="1"/>
  <c r="A19" s="1"/>
  <c r="A20" s="1"/>
  <c r="A21" s="1"/>
  <c r="A22" s="1"/>
  <c r="A23" s="1"/>
  <c r="A31"/>
  <c r="A32" s="1"/>
  <c r="A33" s="1"/>
  <c r="A34" s="1"/>
  <c r="A35" s="1"/>
  <c r="A36" s="1"/>
  <c r="A37" s="1"/>
  <c r="A38" s="1"/>
  <c r="A39" s="1"/>
  <c r="A15" i="4"/>
  <c r="A16" s="1"/>
  <c r="A17" s="1"/>
  <c r="A18" s="1"/>
  <c r="A19" s="1"/>
  <c r="A20" s="1"/>
  <c r="A21" s="1"/>
  <c r="A22" s="1"/>
  <c r="A23" s="1"/>
  <c r="H47" i="17" l="1"/>
  <c r="B20" i="22" s="1"/>
  <c r="C21"/>
  <c r="D21" s="1"/>
  <c r="E21" s="1"/>
  <c r="F21" s="1"/>
  <c r="J53" i="17"/>
  <c r="J54" s="1"/>
  <c r="O13" i="1"/>
  <c r="AB13" s="1"/>
  <c r="BE13" s="1"/>
  <c r="BR13" s="1"/>
  <c r="CE13" s="1"/>
  <c r="B14"/>
  <c r="O14" s="1"/>
  <c r="AB14" s="1"/>
  <c r="BE14" s="1"/>
  <c r="BR14" s="1"/>
  <c r="CE14" s="1"/>
  <c r="I50" i="17"/>
  <c r="I53" s="1"/>
  <c r="C20" i="21"/>
  <c r="J20"/>
  <c r="B43"/>
  <c r="C44"/>
  <c r="J44"/>
  <c r="B43" i="22"/>
  <c r="J20"/>
  <c r="C20"/>
  <c r="C44"/>
  <c r="J44"/>
  <c r="A45" i="21"/>
  <c r="G45" s="1"/>
  <c r="G47" i="2"/>
  <c r="B19" i="21" s="1"/>
  <c r="H49" i="17"/>
  <c r="H51" s="1"/>
  <c r="G47"/>
  <c r="B19" i="22" s="1"/>
  <c r="H50" i="17" l="1"/>
  <c r="H52" s="1"/>
  <c r="I52"/>
  <c r="I54" s="1"/>
  <c r="L44" i="22"/>
  <c r="M44"/>
  <c r="C43"/>
  <c r="M44" i="21"/>
  <c r="C43"/>
  <c r="L44"/>
  <c r="C19"/>
  <c r="B42"/>
  <c r="L20"/>
  <c r="M20"/>
  <c r="B42" i="22"/>
  <c r="M20"/>
  <c r="C19"/>
  <c r="L20"/>
  <c r="G49" i="17"/>
  <c r="G51" s="1"/>
  <c r="F47" i="2"/>
  <c r="B18" i="21" s="1"/>
  <c r="G50" i="17"/>
  <c r="F47"/>
  <c r="B18" i="22" s="1"/>
  <c r="H53" i="17" l="1"/>
  <c r="O20" i="22"/>
  <c r="N20"/>
  <c r="D19"/>
  <c r="E19" s="1"/>
  <c r="F19" s="1"/>
  <c r="S20" i="21"/>
  <c r="Y20"/>
  <c r="D43"/>
  <c r="E43" s="1"/>
  <c r="F43" s="1"/>
  <c r="O44"/>
  <c r="N44"/>
  <c r="S44" i="22"/>
  <c r="Y44"/>
  <c r="S44" i="21"/>
  <c r="Y44"/>
  <c r="J42" i="22"/>
  <c r="C42"/>
  <c r="D19" i="21"/>
  <c r="E19" s="1"/>
  <c r="F19" s="1"/>
  <c r="N20"/>
  <c r="O20"/>
  <c r="O44" i="22"/>
  <c r="N44"/>
  <c r="D43"/>
  <c r="E43" s="1"/>
  <c r="F43" s="1"/>
  <c r="J18"/>
  <c r="B41"/>
  <c r="C18"/>
  <c r="Y20"/>
  <c r="S20"/>
  <c r="T20" i="21"/>
  <c r="Z20"/>
  <c r="T44" i="22"/>
  <c r="Z44"/>
  <c r="C18" i="21"/>
  <c r="J18"/>
  <c r="B41"/>
  <c r="Z20" i="22"/>
  <c r="T20"/>
  <c r="C42" i="21"/>
  <c r="J42"/>
  <c r="Z44"/>
  <c r="T44"/>
  <c r="H54" i="17"/>
  <c r="E47"/>
  <c r="B17" i="22" s="1"/>
  <c r="F50" i="17"/>
  <c r="F49"/>
  <c r="F51" s="1"/>
  <c r="E47" i="2"/>
  <c r="B17" i="21" s="1"/>
  <c r="G52" i="17"/>
  <c r="G53"/>
  <c r="G54" l="1"/>
  <c r="C17" i="21"/>
  <c r="L18"/>
  <c r="B40"/>
  <c r="M18"/>
  <c r="V20"/>
  <c r="AB20"/>
  <c r="AB44"/>
  <c r="V44"/>
  <c r="AB20" i="22"/>
  <c r="V20"/>
  <c r="AB44"/>
  <c r="V44"/>
  <c r="U44" i="21"/>
  <c r="AA44"/>
  <c r="L42" i="22"/>
  <c r="M42"/>
  <c r="C41"/>
  <c r="AA44"/>
  <c r="U44"/>
  <c r="AA20"/>
  <c r="U20"/>
  <c r="M18"/>
  <c r="B40"/>
  <c r="C17"/>
  <c r="L18"/>
  <c r="M42" i="21"/>
  <c r="L42"/>
  <c r="C41"/>
  <c r="AA20"/>
  <c r="U20"/>
  <c r="E49" i="17"/>
  <c r="E51" s="1"/>
  <c r="D47" i="2"/>
  <c r="B16" i="21" s="1"/>
  <c r="E50" i="17"/>
  <c r="D47"/>
  <c r="B16" i="22" s="1"/>
  <c r="F52" i="17"/>
  <c r="F53"/>
  <c r="B39" i="22" l="1"/>
  <c r="C16"/>
  <c r="J16"/>
  <c r="S18"/>
  <c r="Y18"/>
  <c r="S42"/>
  <c r="Y42"/>
  <c r="T18" i="21"/>
  <c r="Z18"/>
  <c r="Z42"/>
  <c r="T42"/>
  <c r="T18" i="22"/>
  <c r="Z18"/>
  <c r="T42"/>
  <c r="Z42"/>
  <c r="D17" i="21"/>
  <c r="E17" s="1"/>
  <c r="F17" s="1"/>
  <c r="O18"/>
  <c r="N18"/>
  <c r="C16"/>
  <c r="J16"/>
  <c r="B39"/>
  <c r="Y42"/>
  <c r="S42"/>
  <c r="J40" i="22"/>
  <c r="C40"/>
  <c r="D41"/>
  <c r="E41" s="1"/>
  <c r="F41" s="1"/>
  <c r="N42"/>
  <c r="Y18" i="21"/>
  <c r="S18"/>
  <c r="D41"/>
  <c r="E41" s="1"/>
  <c r="F41" s="1"/>
  <c r="N42"/>
  <c r="O42"/>
  <c r="D17" i="22"/>
  <c r="E17" s="1"/>
  <c r="F17" s="1"/>
  <c r="O18"/>
  <c r="N18"/>
  <c r="C40" i="21"/>
  <c r="J40"/>
  <c r="O42" i="22"/>
  <c r="E52" i="17"/>
  <c r="E53"/>
  <c r="F54"/>
  <c r="C47" i="2"/>
  <c r="B15" i="21" s="1"/>
  <c r="D49" i="17"/>
  <c r="D51" s="1"/>
  <c r="D50"/>
  <c r="C47"/>
  <c r="B15" i="22" s="1"/>
  <c r="E54" i="17" l="1"/>
  <c r="C15" i="21"/>
  <c r="B38"/>
  <c r="L16"/>
  <c r="M16"/>
  <c r="V42"/>
  <c r="AB42"/>
  <c r="C39" i="22"/>
  <c r="L40"/>
  <c r="M40"/>
  <c r="M16"/>
  <c r="L16"/>
  <c r="C15"/>
  <c r="B38"/>
  <c r="AB18"/>
  <c r="V18"/>
  <c r="AA42"/>
  <c r="U42"/>
  <c r="V18" i="21"/>
  <c r="AB18"/>
  <c r="V42" i="22"/>
  <c r="AB42"/>
  <c r="AA18"/>
  <c r="U18"/>
  <c r="U42" i="21"/>
  <c r="AA42"/>
  <c r="M40"/>
  <c r="C39"/>
  <c r="L40"/>
  <c r="U18"/>
  <c r="AA18"/>
  <c r="B47" i="17"/>
  <c r="B14" i="22" s="1"/>
  <c r="C50" i="17"/>
  <c r="C49"/>
  <c r="C51" s="1"/>
  <c r="B47" i="2"/>
  <c r="B14" i="21" s="1"/>
  <c r="D52" i="17"/>
  <c r="D53"/>
  <c r="T40" i="21" l="1"/>
  <c r="Z40"/>
  <c r="N14" i="22"/>
  <c r="D15"/>
  <c r="E15" s="1"/>
  <c r="F15" s="1"/>
  <c r="O16"/>
  <c r="N16"/>
  <c r="S40"/>
  <c r="Y40"/>
  <c r="D15" i="21"/>
  <c r="E15" s="1"/>
  <c r="F15" s="1"/>
  <c r="N14"/>
  <c r="N16"/>
  <c r="O16"/>
  <c r="J38" i="22"/>
  <c r="C38"/>
  <c r="Y40" i="21"/>
  <c r="S40"/>
  <c r="Z16" i="22"/>
  <c r="T16"/>
  <c r="S16" i="21"/>
  <c r="Y16"/>
  <c r="D39"/>
  <c r="E39" s="1"/>
  <c r="F39" s="1"/>
  <c r="O40"/>
  <c r="N40"/>
  <c r="T40" i="22"/>
  <c r="Z40"/>
  <c r="J38" i="21"/>
  <c r="C38"/>
  <c r="C14"/>
  <c r="J14"/>
  <c r="B37"/>
  <c r="J14" i="22"/>
  <c r="C14"/>
  <c r="B37"/>
  <c r="Y16"/>
  <c r="S16"/>
  <c r="D39"/>
  <c r="E39" s="1"/>
  <c r="F39" s="1"/>
  <c r="O40"/>
  <c r="N40"/>
  <c r="T16" i="21"/>
  <c r="Z16"/>
  <c r="D54" i="17"/>
  <c r="B50"/>
  <c r="B49"/>
  <c r="B51" s="1"/>
  <c r="C52"/>
  <c r="C53"/>
  <c r="G27" i="21" l="1"/>
  <c r="G25"/>
  <c r="G27" i="22"/>
  <c r="G25"/>
  <c r="AB16"/>
  <c r="V16"/>
  <c r="AB40"/>
  <c r="V40"/>
  <c r="L38" i="21"/>
  <c r="C37"/>
  <c r="M38"/>
  <c r="V40"/>
  <c r="AB40"/>
  <c r="AA16"/>
  <c r="U16"/>
  <c r="AA16" i="22"/>
  <c r="U16"/>
  <c r="M38"/>
  <c r="L38"/>
  <c r="C37"/>
  <c r="U14" i="21"/>
  <c r="AA14"/>
  <c r="U40" i="22"/>
  <c r="AA40"/>
  <c r="AA40" i="21"/>
  <c r="U40"/>
  <c r="AB16"/>
  <c r="V16"/>
  <c r="U14" i="22"/>
  <c r="AA14"/>
  <c r="B52" i="17"/>
  <c r="B53"/>
  <c r="C54"/>
  <c r="O38" i="22" l="1"/>
  <c r="D37"/>
  <c r="E37" s="1"/>
  <c r="F37" s="1"/>
  <c r="N38"/>
  <c r="Z38" i="21"/>
  <c r="T38"/>
  <c r="G26"/>
  <c r="Z38" i="22"/>
  <c r="T38"/>
  <c r="S38" i="21"/>
  <c r="Y38"/>
  <c r="Y38" i="22"/>
  <c r="S38"/>
  <c r="O38" i="21"/>
  <c r="N38"/>
  <c r="D37"/>
  <c r="E37" s="1"/>
  <c r="F37" s="1"/>
  <c r="G26" i="22"/>
  <c r="H13" s="1"/>
  <c r="B54" i="17"/>
  <c r="AB38" i="22" l="1"/>
  <c r="V38"/>
  <c r="G48"/>
  <c r="G49" s="1"/>
  <c r="G50"/>
  <c r="AA38" i="21"/>
  <c r="U38"/>
  <c r="H14"/>
  <c r="H21"/>
  <c r="H17"/>
  <c r="H15"/>
  <c r="H20"/>
  <c r="H18"/>
  <c r="H16"/>
  <c r="H19"/>
  <c r="H22"/>
  <c r="U38" i="22"/>
  <c r="AA38"/>
  <c r="H22"/>
  <c r="H18"/>
  <c r="H14"/>
  <c r="H19"/>
  <c r="H15"/>
  <c r="H20"/>
  <c r="H16"/>
  <c r="H21"/>
  <c r="H17"/>
  <c r="V38" i="21"/>
  <c r="AB38"/>
  <c r="G50"/>
  <c r="G48"/>
  <c r="G49" s="1"/>
  <c r="H13"/>
  <c r="AD14" i="22" l="1"/>
  <c r="AE14"/>
  <c r="P22"/>
  <c r="Q22"/>
  <c r="I22"/>
  <c r="K22" s="1"/>
  <c r="Q22" i="21"/>
  <c r="P22"/>
  <c r="I22"/>
  <c r="K22" s="1"/>
  <c r="P20"/>
  <c r="I20"/>
  <c r="K20" s="1"/>
  <c r="Q20"/>
  <c r="Q14"/>
  <c r="P14"/>
  <c r="I14"/>
  <c r="Q20" i="22"/>
  <c r="P20"/>
  <c r="I20"/>
  <c r="K20" s="1"/>
  <c r="P18"/>
  <c r="Q18"/>
  <c r="I18"/>
  <c r="K18" s="1"/>
  <c r="P18" i="21"/>
  <c r="Q18"/>
  <c r="I18"/>
  <c r="K18" s="1"/>
  <c r="P16" i="22"/>
  <c r="Q16"/>
  <c r="I16"/>
  <c r="K16" s="1"/>
  <c r="Q14"/>
  <c r="P14"/>
  <c r="I14"/>
  <c r="K14" s="1"/>
  <c r="P16" i="21"/>
  <c r="Q16"/>
  <c r="I16"/>
  <c r="K16" s="1"/>
  <c r="H37"/>
  <c r="H44"/>
  <c r="H43"/>
  <c r="H45"/>
  <c r="H40"/>
  <c r="H39"/>
  <c r="H41"/>
  <c r="H38"/>
  <c r="H42"/>
  <c r="H36"/>
  <c r="AD14"/>
  <c r="AE14"/>
  <c r="H44" i="22"/>
  <c r="H41"/>
  <c r="H39"/>
  <c r="H45"/>
  <c r="H38"/>
  <c r="H43"/>
  <c r="H36"/>
  <c r="H42"/>
  <c r="H40"/>
  <c r="H37"/>
  <c r="AD36" l="1"/>
  <c r="AE36"/>
  <c r="W18"/>
  <c r="AC18"/>
  <c r="Q40"/>
  <c r="P40"/>
  <c r="I40"/>
  <c r="K40" s="1"/>
  <c r="I38"/>
  <c r="K38" s="1"/>
  <c r="Q38"/>
  <c r="P38"/>
  <c r="P44"/>
  <c r="Q44"/>
  <c r="I44"/>
  <c r="K44" s="1"/>
  <c r="I42" i="21"/>
  <c r="K42" s="1"/>
  <c r="P42"/>
  <c r="Q42"/>
  <c r="P40"/>
  <c r="Q40"/>
  <c r="I40"/>
  <c r="K40" s="1"/>
  <c r="AD36"/>
  <c r="AE36"/>
  <c r="R14" i="22"/>
  <c r="X14"/>
  <c r="AC18" i="21"/>
  <c r="W18"/>
  <c r="X20" i="22"/>
  <c r="R20"/>
  <c r="AC14" i="21"/>
  <c r="W14"/>
  <c r="AC20"/>
  <c r="W20"/>
  <c r="R22" i="22"/>
  <c r="X22"/>
  <c r="W16" i="21"/>
  <c r="AC16"/>
  <c r="X16" i="22"/>
  <c r="R16"/>
  <c r="R20" i="21"/>
  <c r="X20"/>
  <c r="X18"/>
  <c r="R18"/>
  <c r="W22"/>
  <c r="AC22"/>
  <c r="W22" i="22"/>
  <c r="AC22"/>
  <c r="I44" i="21"/>
  <c r="K44" s="1"/>
  <c r="Q44"/>
  <c r="P44"/>
  <c r="I42" i="22"/>
  <c r="K42" s="1"/>
  <c r="P42"/>
  <c r="Q42"/>
  <c r="Q38" i="21"/>
  <c r="P38"/>
  <c r="I38"/>
  <c r="K38" s="1"/>
  <c r="X16"/>
  <c r="R16"/>
  <c r="AC14" i="22"/>
  <c r="W14"/>
  <c r="AC16"/>
  <c r="W16"/>
  <c r="X18"/>
  <c r="R18"/>
  <c r="W20"/>
  <c r="AC20"/>
  <c r="X22" i="21"/>
  <c r="R22"/>
  <c r="K14"/>
  <c r="X42" i="22" l="1"/>
  <c r="R42"/>
  <c r="AC44" i="21"/>
  <c r="W44"/>
  <c r="X38" i="22"/>
  <c r="R38"/>
  <c r="W38" i="21"/>
  <c r="AC38"/>
  <c r="R38"/>
  <c r="X38"/>
  <c r="AC42" i="22"/>
  <c r="W42"/>
  <c r="X44" i="21"/>
  <c r="R44"/>
  <c r="X42"/>
  <c r="R42"/>
  <c r="AC38" i="22"/>
  <c r="W38"/>
  <c r="W40"/>
  <c r="AC40"/>
  <c r="W40" i="21"/>
  <c r="AC40"/>
  <c r="X44" i="22"/>
  <c r="R44"/>
  <c r="R40" i="21"/>
  <c r="X40"/>
  <c r="AC42"/>
  <c r="W42"/>
  <c r="W44" i="22"/>
  <c r="AC44"/>
  <c r="R40"/>
  <c r="X40"/>
  <c r="R14" i="21"/>
  <c r="X14"/>
</calcChain>
</file>

<file path=xl/comments1.xml><?xml version="1.0" encoding="utf-8"?>
<comments xmlns="http://schemas.openxmlformats.org/spreadsheetml/2006/main">
  <authors>
    <author>boorj</author>
  </authors>
  <commentList>
    <comment ref="J45" authorId="0">
      <text>
        <r>
          <rPr>
            <b/>
            <sz val="9"/>
            <color indexed="81"/>
            <rFont val="Tahoma"/>
            <family val="2"/>
          </rPr>
          <t>boorj:</t>
        </r>
        <r>
          <rPr>
            <sz val="9"/>
            <color indexed="81"/>
            <rFont val="Tahoma"/>
            <family val="2"/>
          </rPr>
          <t xml:space="preserve">
Replaced Su-1 value with 1.00001
</t>
        </r>
      </text>
    </comment>
  </commentList>
</comments>
</file>

<file path=xl/sharedStrings.xml><?xml version="1.0" encoding="utf-8"?>
<sst xmlns="http://schemas.openxmlformats.org/spreadsheetml/2006/main" count="507" uniqueCount="236">
  <si>
    <t xml:space="preserve"> Paid LDFs by Month of Development Using Weibull Fit</t>
  </si>
  <si>
    <t>Development Triangles</t>
  </si>
  <si>
    <t>Page 1 - Paid Loss Triangle</t>
  </si>
  <si>
    <t>Type:</t>
  </si>
  <si>
    <t>Paid Loss</t>
  </si>
  <si>
    <t>Fitted</t>
  </si>
  <si>
    <t>Interpolated</t>
  </si>
  <si>
    <t>%</t>
  </si>
  <si>
    <t>Weibull</t>
  </si>
  <si>
    <t>Part 1.  Triangle Data</t>
  </si>
  <si>
    <t>Stage</t>
  </si>
  <si>
    <t>LDF</t>
  </si>
  <si>
    <t>Paid</t>
  </si>
  <si>
    <t>Unpaid</t>
  </si>
  <si>
    <t>Log</t>
  </si>
  <si>
    <t>Log(-Log)</t>
  </si>
  <si>
    <t>Log(Time)</t>
  </si>
  <si>
    <t>Curve</t>
  </si>
  <si>
    <t>Incurred</t>
  </si>
  <si>
    <t>Accident</t>
  </si>
  <si>
    <t>% Paid</t>
  </si>
  <si>
    <t>Year</t>
  </si>
  <si>
    <t>x</t>
  </si>
  <si>
    <t>Part 2.  Link Ratios and LDF Selections</t>
  </si>
  <si>
    <t>All Time Wtd. Avg.</t>
  </si>
  <si>
    <t>3 Yr. Wtd. Avg.</t>
  </si>
  <si>
    <t>3 Yr. Pure Avg.</t>
  </si>
  <si>
    <t>Selected</t>
  </si>
  <si>
    <t>Paid LDFs</t>
  </si>
  <si>
    <t>Page 3 - Incurred Loss Triangle</t>
  </si>
  <si>
    <t>Incurred Loss</t>
  </si>
  <si>
    <t>Incurred LDFs</t>
  </si>
  <si>
    <t>Paid LDFs from Prior</t>
  </si>
  <si>
    <t>% Incurred</t>
  </si>
  <si>
    <t>% Case Reserved</t>
  </si>
  <si>
    <t>%IBNR</t>
  </si>
  <si>
    <t>IBNR/Case Ratio</t>
  </si>
  <si>
    <t>Regression for weibull parameters</t>
  </si>
  <si>
    <t>c</t>
  </si>
  <si>
    <t>Power 't'</t>
  </si>
  <si>
    <t>Part 2</t>
  </si>
  <si>
    <t>Part 3</t>
  </si>
  <si>
    <t>Part 4</t>
  </si>
  <si>
    <t>Open Claims</t>
  </si>
  <si>
    <t>Line</t>
  </si>
  <si>
    <t>Prior</t>
  </si>
  <si>
    <t>Page 5 - Case Reserve Triangles</t>
  </si>
  <si>
    <t>Reference Exhibit</t>
  </si>
  <si>
    <t>Case Reserve Triangle</t>
  </si>
  <si>
    <t>Data Review</t>
  </si>
  <si>
    <t>Part 2.  Year-to-Year Increase</t>
  </si>
  <si>
    <t>Ending</t>
  </si>
  <si>
    <t>Period</t>
  </si>
  <si>
    <t>Average</t>
  </si>
  <si>
    <t>Ratio of Case Reserves to Paid Loss</t>
  </si>
  <si>
    <t>Part 1.  Triangle of Outstanding Case Reserves to Cumulative Paid Loss</t>
  </si>
  <si>
    <t>Page 15 - Ratio of Case Reserves to Paid Loss</t>
  </si>
  <si>
    <t>Part 5-? 1</t>
  </si>
  <si>
    <t>Part 5 - ? - 2</t>
  </si>
  <si>
    <t>Part 5 - ? - 3</t>
  </si>
  <si>
    <t>Note:</t>
  </si>
  <si>
    <t>Page 16 - Ratio of Incremental Paid Loss to Incremental Case Reserve Disposed of</t>
  </si>
  <si>
    <t>Part 1.  Triangle of Incremental Paid Loss to Incremental Case Reduction</t>
  </si>
  <si>
    <t>Ratio of Incremental  Paid Loss to Decrease in Case Reserves (Same Period)</t>
  </si>
  <si>
    <t>Data on this page is arithmetically calculated using data from other pages</t>
  </si>
  <si>
    <t xml:space="preserve">Formula for values on this page is: </t>
  </si>
  <si>
    <t>(cumulative paid loss at this # months- cumulative paid loss twelve months ago)</t>
  </si>
  <si>
    <t>divided by</t>
  </si>
  <si>
    <t>(case reserves twelve months ago - case reserves this # months)</t>
  </si>
  <si>
    <t>INCUR_LSS_EXP_1994</t>
  </si>
  <si>
    <t>INCUR_LSS_EXP_1995</t>
  </si>
  <si>
    <t>INCUR_LSS_EXP_1996</t>
  </si>
  <si>
    <t>INCUR_LSS_EXP_1997</t>
  </si>
  <si>
    <t>INCUR_LSS_EXP_1998</t>
  </si>
  <si>
    <t>INCUR_LSS_EXP_1999</t>
  </si>
  <si>
    <t>INCUR_LSS_EXP_2000</t>
  </si>
  <si>
    <t>INCUR_LSS_EXP_2001</t>
  </si>
  <si>
    <t>INCUR_LSS_EXP_2002</t>
  </si>
  <si>
    <t>INCUR_LSS_EXP_2003</t>
  </si>
  <si>
    <t>CM_PD_LSS_EXP_1994</t>
  </si>
  <si>
    <t>CM_PD_LSS_EXP_1995</t>
  </si>
  <si>
    <t>CM_PD_LSS_EXP_1996</t>
  </si>
  <si>
    <t>CM_PD_LSS_EXP_1997</t>
  </si>
  <si>
    <t>CM_PD_LSS_EXP_1998</t>
  </si>
  <si>
    <t>CM_PD_LSS_EXP_1999</t>
  </si>
  <si>
    <t>CM_PD_LSS_EXP_2000</t>
  </si>
  <si>
    <t>CM_PD_LSS_EXP_2001</t>
  </si>
  <si>
    <t>CM_PD_LSS_EXP_2002</t>
  </si>
  <si>
    <t>CM_PD_LSS_EXP_2003</t>
  </si>
  <si>
    <t>BLK_INCUR_EXP_1994</t>
  </si>
  <si>
    <t>BLK_INCUR_EXP_1995</t>
  </si>
  <si>
    <t>BLK_INCUR_EXP_1996</t>
  </si>
  <si>
    <t>BLK_INCUR_EXP_1997</t>
  </si>
  <si>
    <t>BLK_INCUR_EXP_1998</t>
  </si>
  <si>
    <t>BLK_INCUR_EXP_1999</t>
  </si>
  <si>
    <t>BLK_INCUR_EXP_2000</t>
  </si>
  <si>
    <t>BLK_INCUR_EXP_2001</t>
  </si>
  <si>
    <t>BLK_INCUR_EXP_2002</t>
  </si>
  <si>
    <t>BLK_INCUR_EXP_2003</t>
  </si>
  <si>
    <t>NBR_CLM_LS_PM_1994</t>
  </si>
  <si>
    <t>NBR_CLM_LS_PM_1995</t>
  </si>
  <si>
    <t>NBR_CLM_LS_PM_1996</t>
  </si>
  <si>
    <t>NBR_CLM_LS_PM_1997</t>
  </si>
  <si>
    <t>NBR_CLM_LS_PM_1998</t>
  </si>
  <si>
    <t>NBR_CLM_LS_PM_1999</t>
  </si>
  <si>
    <t>NBR_CLM_LS_PM_2000</t>
  </si>
  <si>
    <t>NBR_CLM_LS_PM_2001</t>
  </si>
  <si>
    <t>NBR_CLM_LS_PM_2002</t>
  </si>
  <si>
    <t>NBR_CLM_LS_PM_2003</t>
  </si>
  <si>
    <t>NBR_CLM_OUT_1994</t>
  </si>
  <si>
    <t>NBR_CLM_OUT_1995</t>
  </si>
  <si>
    <t>NBR_CLM_OUT_1996</t>
  </si>
  <si>
    <t>NBR_CLM_OUT_1997</t>
  </si>
  <si>
    <t>NBR_CLM_OUT_1998</t>
  </si>
  <si>
    <t>NBR_CLM_OUT_1999</t>
  </si>
  <si>
    <t>NBR_CLM_OUT_2000</t>
  </si>
  <si>
    <t>NBR_CLM_OUT_2001</t>
  </si>
  <si>
    <t>NBR_CLM_OUT_2002</t>
  </si>
  <si>
    <t>NBR_CLM_OUT_2003</t>
  </si>
  <si>
    <t>NBR_CLM_RPT_1994</t>
  </si>
  <si>
    <t>NBR_CLM_RPT_1995</t>
  </si>
  <si>
    <t>NBR_CLM_RPT_1996</t>
  </si>
  <si>
    <t>NBR_CLM_RPT_1997</t>
  </si>
  <si>
    <t>NBR_CLM_RPT_1998</t>
  </si>
  <si>
    <t>NBR_CLM_RPT_1999</t>
  </si>
  <si>
    <t>NBR_CLM_RPT_2000</t>
  </si>
  <si>
    <t>NBR_CLM_RPT_2001</t>
  </si>
  <si>
    <t>NBR_CLM_RPT_2002</t>
  </si>
  <si>
    <t>NBR_CLM_RPT_2003</t>
  </si>
  <si>
    <t>Development of NAIC Data</t>
  </si>
  <si>
    <t>No slowdown in particular in recent years per page 17, in fact a mild speedup.  Chose last three</t>
  </si>
  <si>
    <t>Selected Cost/Reserve Ratio =Weighted Average 96(inclusive) through 120</t>
  </si>
  <si>
    <t>Selected value is three way average of 120 month value and two 108 values with decline from 96-108 applied</t>
  </si>
  <si>
    <t>Tail factor is straight application of Sherman/Boor using values selected on case/paid and paid/disposed pages</t>
  </si>
  <si>
    <t>Geometric</t>
  </si>
  <si>
    <t>Interpolation</t>
  </si>
  <si>
    <t>Linear</t>
  </si>
  <si>
    <t>Unadjusted</t>
  </si>
  <si>
    <t>Outside</t>
  </si>
  <si>
    <t>Range?</t>
  </si>
  <si>
    <t>Adjusted</t>
  </si>
  <si>
    <t>%Paid</t>
  </si>
  <si>
    <t>% of Total LDF Squared Errors</t>
  </si>
  <si>
    <t>% of Unpaid Squared Errors</t>
  </si>
  <si>
    <t>Part 1. Interpolating Odd Year Maturities from Evens</t>
  </si>
  <si>
    <t>Part 2. Interpolating Odd Year Maturities from Evens</t>
  </si>
  <si>
    <t>Page 2A - Paid LDF Interpolation Using Various Methods</t>
  </si>
  <si>
    <t>Avg. Squared</t>
  </si>
  <si>
    <t>Difference</t>
  </si>
  <si>
    <t>Kolmorov-</t>
  </si>
  <si>
    <t>Smirnov</t>
  </si>
  <si>
    <t>Statistic</t>
  </si>
  <si>
    <t>Along Weibull</t>
  </si>
  <si>
    <t>% Incrrd</t>
  </si>
  <si>
    <t>Actual</t>
  </si>
  <si>
    <t>Value</t>
  </si>
  <si>
    <t>Kolmogorov-</t>
  </si>
  <si>
    <t>PPAL</t>
  </si>
  <si>
    <t>Incurred Net Losses 2002</t>
  </si>
  <si>
    <t>Incurred Net Losses 2003</t>
  </si>
  <si>
    <t>Incurred Net Losses 2004</t>
  </si>
  <si>
    <t>Incurred Net Losses 2005</t>
  </si>
  <si>
    <t>Incurred Net Losses 2006</t>
  </si>
  <si>
    <t>Incurred Net Losses 2007</t>
  </si>
  <si>
    <t>Incurred Net Losses 2008</t>
  </si>
  <si>
    <t>Incurred Net Losses 2009</t>
  </si>
  <si>
    <t>Incurred Net Losses 2010</t>
  </si>
  <si>
    <t>Incurred Net Losses 2011</t>
  </si>
  <si>
    <t>One Year Development</t>
  </si>
  <si>
    <t>Two Year Development</t>
  </si>
  <si>
    <t>Totals</t>
  </si>
  <si>
    <t>Cum Paid Net Losses 2002</t>
  </si>
  <si>
    <t>Cum Paid Net Losses 2003</t>
  </si>
  <si>
    <t>Cum Paid Net Losses 2004</t>
  </si>
  <si>
    <t>Cum Paid Net Losses 2005</t>
  </si>
  <si>
    <t>Cum Paid Net Losses 2006</t>
  </si>
  <si>
    <t>Cum Paid Net Losses 2007</t>
  </si>
  <si>
    <t>Cum Paid Net Losses 2008</t>
  </si>
  <si>
    <t>Cum Paid Net Losses 2009</t>
  </si>
  <si>
    <t>Cum Paid Net Losses 2010</t>
  </si>
  <si>
    <t>Cum Paid Net Losses 2011</t>
  </si>
  <si>
    <t>Number of Claims Closed With Loss Payment</t>
  </si>
  <si>
    <t>Number of Claims Closed Without Loss Payment</t>
  </si>
  <si>
    <t>Bulk &amp; IBNR Reserves Net Losses 2002</t>
  </si>
  <si>
    <t>Bulk &amp; IBNR Reserves Net Losses 2003</t>
  </si>
  <si>
    <t>Bulk &amp; IBNR Reserves Net Losses 2004</t>
  </si>
  <si>
    <t>Bulk &amp; IBNR Reserves Net Losses 2005</t>
  </si>
  <si>
    <t>Bulk &amp; IBNR Reserves Net Losses 2006</t>
  </si>
  <si>
    <t>Bulk &amp; IBNR Reserves Net Losses 2007</t>
  </si>
  <si>
    <t>Bulk &amp; IBNR Reserves Net Losses 2008</t>
  </si>
  <si>
    <t>Bulk &amp; IBNR Reserves Net Losses 2009</t>
  </si>
  <si>
    <t>Bulk &amp; IBNR Reserves Net Losses 2010</t>
  </si>
  <si>
    <t>Bulk &amp; IBNR Reserves Net Losses 2011</t>
  </si>
  <si>
    <t>Mechanical application of all-time weighted average</t>
  </si>
  <si>
    <t>Selected Small Company Number 2</t>
  </si>
  <si>
    <t>CMP</t>
  </si>
  <si>
    <t>Data Source: 2011 Co. Sked P</t>
  </si>
  <si>
    <t>Link ratios are all time weighted average</t>
  </si>
  <si>
    <t>Part 1. Fitting Weibull Curve to Even Maturity %Paid to get Odd Year Maturity %Paid/LDFs</t>
  </si>
  <si>
    <t>Part 2- Paid LDF Interpolation Using Various Methods</t>
  </si>
  <si>
    <t>Part 4  % of Total LDF Squared Errors</t>
  </si>
  <si>
    <t>Part 5  % of Unpaid Squared Errors</t>
  </si>
  <si>
    <t>Part 6</t>
  </si>
  <si>
    <t>Log (base e) of c</t>
  </si>
  <si>
    <t>Notes:</t>
  </si>
  <si>
    <t>See the formulas in the cells for details.</t>
  </si>
  <si>
    <t>Part 1:</t>
  </si>
  <si>
    <t xml:space="preserve">In above portion just the even maturity LDFs are extracted.  Then, since they are full LDFS (carrying to full ultimate, not just a late stage), a Weibull curve may be fit to the </t>
  </si>
  <si>
    <t>corresponding percentage of the ultimate that is paid to-maturity.  The fitted parameters for the Weibull are in yellow.</t>
  </si>
  <si>
    <t>The fitted curve percentage of ultimate paid is shown in column H, and the correspnding interpolation along the curve is shown in I.</t>
  </si>
  <si>
    <t xml:space="preserve">The interpolated  LDFs for the values for the "x" points in the middle are shown.  Several methods, each with its own column, are used.  </t>
  </si>
  <si>
    <t xml:space="preserve">The actual, true values, used for accuracy testing,  are in the first column (J).  Of course, you would not normally have them, but this exercise was for testing.  </t>
  </si>
  <si>
    <t>In this column "obvious" errors of the unadjusted Weibull approximation, such as an interpolated value that is larger than both values you are interpolating between, are flagged.</t>
  </si>
  <si>
    <t>For each interpolated value, the normalized by LDF squared errors={(interpolated value from Part 2-actual value from column J)/column J} squared are computed.</t>
  </si>
  <si>
    <t>Part 5</t>
  </si>
  <si>
    <t xml:space="preserve">This relates solely to testing.  Note that subsequently the errors were normalized using the squared error of the corresponding interpolation along the curve value. </t>
  </si>
  <si>
    <t xml:space="preserve">Same as part 4, only the error is normalized with the unpaid portion of development (LDF-1).  ={(interpolated value from Part 2-actual value from column J)/(column J-1)} squared </t>
  </si>
  <si>
    <t>Further, note that some values used in here and in Part 5 occur in multiple columns, so the column references may not match the formulas, but will match the results.</t>
  </si>
  <si>
    <t>For testing. If memory serves, this did not make the final cut for the paper, but the unadjusted Weibull curve tended to perform better as this statistic got lower.</t>
  </si>
  <si>
    <t>Rows 29-50</t>
  </si>
  <si>
    <t>Same method, but other set of initial values(starting point of odd maturities).</t>
  </si>
  <si>
    <t xml:space="preserve">Notes: </t>
  </si>
  <si>
    <t xml:space="preserve">See "Paid Interp Using Methods" tab - calculations are essentially identical, excepting that instead working with the "% Unpaid", and "% Paid", the use of </t>
  </si>
  <si>
    <t>incurred loss development factors requires the use of "%IBNR" and "%Incurred" or"%Incrrd"</t>
  </si>
  <si>
    <t>IBNR</t>
  </si>
  <si>
    <t>% of Unreported Portion Squared Errors</t>
  </si>
  <si>
    <t>Examples of all the interpolation methods for LDFs</t>
  </si>
  <si>
    <t xml:space="preserve">Broad note - These workbooks were originally background workbooks, designed just for doing the calculations.  I was asked to upload them, but to only include minimal updating in light of the </t>
  </si>
  <si>
    <t xml:space="preserve">effort involved to make it followable.  This should not be interpreted as say, suitable for inclusion in an actuarial report.  Again, all these spreadsheets were just designed to process  data in the background. </t>
  </si>
  <si>
    <t>Layout - This began with a spreadsheet that used dollar data from schedule P.  Schedule P data was downloaded to the input page.  Development factors were estimated in "Paid Tria" and "Inc Tria".</t>
  </si>
  <si>
    <t xml:space="preserve">The tail factors used a Sherman-Boor method and the "Case Over Paid" and "Paid Over Disposed" tabs.  The whole purpose, of course, is to have LDFS to feed into the interpolation testing, </t>
  </si>
  <si>
    <t xml:space="preserve">which is in the "Paid Interp Using Methods" and  "Incrd Interp Using Methods" tabs.  In each tab, we first took just the LDF info for the even (24, 48, etc.) maturities, and interpolated </t>
  </si>
  <si>
    <t>the values at the odd (12, 36, etc.) maturities, using various methods.   Since the actual values at 12, 36, etc. were known, we could compute the error associated with each estimate, and hence it's relative quality.</t>
  </si>
  <si>
    <t>Then, at the bottom of the page, we began with the odd maturites and estimated the LDFS for the even maturities.</t>
  </si>
  <si>
    <t>This was done for industry aggregate data for 11 lines for which I had industry data, and for 10 randomly selected small companies, and the results forwarded to an analysis spreadsheet for summarization..</t>
  </si>
  <si>
    <t>Detailed notes and more finely documented exhibits may be found at the bottom of "Paid Interp Using Methods".</t>
  </si>
</sst>
</file>

<file path=xl/styles.xml><?xml version="1.0" encoding="utf-8"?>
<styleSheet xmlns="http://schemas.openxmlformats.org/spreadsheetml/2006/main">
  <numFmts count="8">
    <numFmt numFmtId="164" formatCode="0.000"/>
    <numFmt numFmtId="165" formatCode="#,##0.000"/>
    <numFmt numFmtId="166" formatCode="0.000_)"/>
    <numFmt numFmtId="167" formatCode="0.0000"/>
    <numFmt numFmtId="168" formatCode="0.0000%"/>
    <numFmt numFmtId="169" formatCode="0.000%"/>
    <numFmt numFmtId="170" formatCode="0.00000"/>
    <numFmt numFmtId="171" formatCode="0.00000000"/>
  </numFmts>
  <fonts count="11">
    <font>
      <sz val="10"/>
      <name val="Arial"/>
    </font>
    <font>
      <sz val="10"/>
      <name val="Arial"/>
      <family val="2"/>
    </font>
    <font>
      <b/>
      <sz val="15"/>
      <name val="MS Sans Serif"/>
      <family val="2"/>
    </font>
    <font>
      <b/>
      <sz val="12"/>
      <name val="MS Sans Serif"/>
      <family val="2"/>
    </font>
    <font>
      <b/>
      <sz val="10"/>
      <name val="MS Sans Serif"/>
      <family val="2"/>
    </font>
    <font>
      <b/>
      <sz val="8.5"/>
      <name val="MS Sans Serif"/>
      <family val="2"/>
    </font>
    <font>
      <sz val="8"/>
      <name val="Arial"/>
      <family val="2"/>
    </font>
    <font>
      <b/>
      <sz val="8"/>
      <name val="Arial"/>
      <family val="2"/>
    </font>
    <font>
      <sz val="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2" fillId="0" borderId="0" xfId="0" applyFont="1" applyAlignment="1">
      <alignment horizontal="centerContinuous"/>
    </xf>
    <xf numFmtId="0" fontId="0" fillId="0" borderId="0" xfId="0" applyAlignment="1">
      <alignment horizontal="right"/>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0" fillId="0" borderId="0" xfId="0" applyAlignment="1">
      <alignment horizontal="center"/>
    </xf>
    <xf numFmtId="0" fontId="4" fillId="0" borderId="0" xfId="0" applyFont="1"/>
    <xf numFmtId="0" fontId="0" fillId="0" borderId="0" xfId="0" quotePrefix="1" applyAlignment="1">
      <alignment horizontal="center"/>
    </xf>
    <xf numFmtId="3" fontId="0" fillId="0" borderId="0" xfId="0" applyNumberFormat="1"/>
    <xf numFmtId="10" fontId="0" fillId="0" borderId="0" xfId="0" applyNumberFormat="1"/>
    <xf numFmtId="164" fontId="0" fillId="0" borderId="0" xfId="0" applyNumberFormat="1"/>
    <xf numFmtId="165" fontId="0" fillId="0" borderId="0" xfId="0" applyNumberFormat="1"/>
    <xf numFmtId="0" fontId="0" fillId="0" borderId="0" xfId="0" quotePrefix="1"/>
    <xf numFmtId="2" fontId="0" fillId="0" borderId="0" xfId="0" applyNumberFormat="1"/>
    <xf numFmtId="0" fontId="6" fillId="0" borderId="1" xfId="0" applyFont="1" applyBorder="1" applyAlignment="1">
      <alignment wrapText="1"/>
    </xf>
    <xf numFmtId="0" fontId="7" fillId="0" borderId="1" xfId="0" applyFont="1" applyBorder="1" applyAlignment="1">
      <alignment horizontal="right" wrapText="1"/>
    </xf>
    <xf numFmtId="0" fontId="7" fillId="0" borderId="1" xfId="0" applyFont="1" applyBorder="1" applyAlignment="1">
      <alignment horizontal="center" wrapText="1"/>
    </xf>
    <xf numFmtId="0" fontId="6" fillId="0" borderId="2" xfId="0" applyFont="1" applyBorder="1" applyAlignment="1">
      <alignment wrapText="1"/>
    </xf>
    <xf numFmtId="0" fontId="0" fillId="0" borderId="0" xfId="0" applyBorder="1"/>
    <xf numFmtId="0" fontId="7" fillId="0" borderId="0" xfId="0" applyFont="1" applyBorder="1" applyAlignment="1">
      <alignment horizontal="center" wrapText="1"/>
    </xf>
    <xf numFmtId="0" fontId="6" fillId="0" borderId="0" xfId="0" applyFont="1" applyBorder="1" applyAlignment="1">
      <alignment horizontal="right" wrapText="1"/>
    </xf>
    <xf numFmtId="0" fontId="0" fillId="0" borderId="0" xfId="0" applyAlignment="1">
      <alignment horizontal="centerContinuous"/>
    </xf>
    <xf numFmtId="0" fontId="0" fillId="0" borderId="0" xfId="0" applyAlignment="1"/>
    <xf numFmtId="166" fontId="0" fillId="0" borderId="0" xfId="0" applyNumberFormat="1" applyAlignment="1" applyProtection="1">
      <alignment horizontal="center"/>
    </xf>
    <xf numFmtId="3" fontId="0" fillId="0" borderId="0" xfId="0" quotePrefix="1" applyNumberFormat="1" applyAlignment="1">
      <alignment horizontal="right" wrapText="1"/>
    </xf>
    <xf numFmtId="3" fontId="0" fillId="0" borderId="0" xfId="0" quotePrefix="1" applyNumberFormat="1"/>
    <xf numFmtId="0" fontId="0" fillId="0" borderId="0" xfId="0" applyFill="1"/>
    <xf numFmtId="164" fontId="0" fillId="0" borderId="0" xfId="0" applyNumberFormat="1" applyFill="1"/>
    <xf numFmtId="167" fontId="0" fillId="0" borderId="0" xfId="0" applyNumberFormat="1" applyFill="1"/>
    <xf numFmtId="0" fontId="0" fillId="0" borderId="3" xfId="0" applyBorder="1"/>
    <xf numFmtId="0" fontId="0" fillId="0" borderId="0" xfId="0" applyAlignment="1">
      <alignment horizontal="left"/>
    </xf>
    <xf numFmtId="168" fontId="0" fillId="0" borderId="0" xfId="1" applyNumberFormat="1" applyFont="1"/>
    <xf numFmtId="168" fontId="0" fillId="0" borderId="0" xfId="0" applyNumberFormat="1"/>
    <xf numFmtId="169" fontId="0" fillId="0" borderId="0" xfId="1" applyNumberFormat="1" applyFont="1"/>
    <xf numFmtId="0" fontId="8" fillId="0" borderId="0" xfId="0" applyFont="1" applyAlignment="1">
      <alignment horizontal="center"/>
    </xf>
    <xf numFmtId="0" fontId="8" fillId="0" borderId="0" xfId="0" applyFont="1"/>
    <xf numFmtId="0" fontId="0" fillId="0" borderId="5" xfId="0" applyBorder="1"/>
    <xf numFmtId="0" fontId="0" fillId="0" borderId="6" xfId="0" applyBorder="1"/>
    <xf numFmtId="0" fontId="0" fillId="0" borderId="7" xfId="0" applyBorder="1" applyAlignment="1">
      <alignment horizontal="center"/>
    </xf>
    <xf numFmtId="0" fontId="0" fillId="0" borderId="7" xfId="0" applyBorder="1"/>
    <xf numFmtId="0" fontId="0" fillId="0" borderId="0" xfId="0" applyBorder="1" applyAlignment="1">
      <alignment horizontal="center"/>
    </xf>
    <xf numFmtId="0" fontId="0" fillId="0" borderId="10" xfId="0" applyBorder="1"/>
    <xf numFmtId="0" fontId="0" fillId="0" borderId="4" xfId="0" applyBorder="1"/>
    <xf numFmtId="0" fontId="0" fillId="0" borderId="6" xfId="0" applyBorder="1" applyAlignment="1">
      <alignment horizontal="center"/>
    </xf>
    <xf numFmtId="0" fontId="0" fillId="0" borderId="0" xfId="0" applyBorder="1" applyAlignment="1"/>
    <xf numFmtId="0" fontId="0" fillId="0" borderId="7" xfId="0" applyBorder="1" applyAlignment="1"/>
    <xf numFmtId="0" fontId="0" fillId="0" borderId="10" xfId="0" applyBorder="1" applyAlignment="1">
      <alignment horizontal="center"/>
    </xf>
    <xf numFmtId="0" fontId="8" fillId="0" borderId="6" xfId="0" applyFont="1" applyBorder="1" applyAlignment="1">
      <alignment horizontal="center"/>
    </xf>
    <xf numFmtId="170" fontId="0" fillId="0" borderId="0" xfId="0" applyNumberFormat="1"/>
    <xf numFmtId="171" fontId="0" fillId="0" borderId="0" xfId="0" applyNumberFormat="1"/>
    <xf numFmtId="0" fontId="1" fillId="0" borderId="0" xfId="0" applyFont="1"/>
    <xf numFmtId="0" fontId="1" fillId="2" borderId="0" xfId="0" applyFont="1" applyFill="1"/>
    <xf numFmtId="0" fontId="7" fillId="0" borderId="12" xfId="0" applyFont="1" applyBorder="1" applyAlignment="1">
      <alignment horizontal="center" wrapText="1"/>
    </xf>
    <xf numFmtId="0" fontId="6" fillId="0" borderId="12" xfId="0" applyFont="1" applyBorder="1" applyAlignment="1">
      <alignment wrapText="1"/>
    </xf>
    <xf numFmtId="0" fontId="6" fillId="0" borderId="12" xfId="0" applyFont="1" applyBorder="1" applyAlignment="1">
      <alignment horizontal="right" wrapText="1"/>
    </xf>
    <xf numFmtId="3" fontId="6" fillId="0" borderId="12" xfId="0" applyNumberFormat="1" applyFont="1" applyBorder="1" applyAlignment="1">
      <alignment horizontal="right" wrapText="1"/>
    </xf>
    <xf numFmtId="0" fontId="0" fillId="0" borderId="13" xfId="0" applyBorder="1"/>
    <xf numFmtId="0" fontId="0" fillId="0" borderId="5" xfId="0" applyBorder="1" applyAlignment="1">
      <alignment horizontal="center"/>
    </xf>
    <xf numFmtId="0" fontId="0" fillId="0" borderId="0" xfId="0" quotePrefix="1" applyBorder="1" applyAlignment="1">
      <alignment horizontal="center"/>
    </xf>
    <xf numFmtId="0" fontId="0" fillId="0" borderId="7" xfId="0" quotePrefix="1" applyBorder="1" applyAlignment="1">
      <alignment horizontal="center"/>
    </xf>
    <xf numFmtId="164" fontId="0" fillId="0" borderId="0" xfId="0" applyNumberFormat="1" applyBorder="1"/>
    <xf numFmtId="0" fontId="0" fillId="3" borderId="0" xfId="0" applyFill="1" applyBorder="1"/>
    <xf numFmtId="0" fontId="0" fillId="0" borderId="0" xfId="0" quotePrefix="1" applyBorder="1"/>
    <xf numFmtId="0" fontId="0" fillId="0" borderId="8" xfId="0" applyBorder="1"/>
    <xf numFmtId="0" fontId="0" fillId="0" borderId="11" xfId="0" applyBorder="1"/>
    <xf numFmtId="0" fontId="0" fillId="0" borderId="9" xfId="0" applyBorder="1"/>
    <xf numFmtId="0" fontId="1" fillId="0" borderId="10" xfId="0" applyFont="1" applyBorder="1" applyAlignment="1">
      <alignment horizontal="left"/>
    </xf>
    <xf numFmtId="0" fontId="0" fillId="0" borderId="15" xfId="0" applyBorder="1"/>
    <xf numFmtId="0" fontId="0" fillId="0" borderId="15" xfId="0" applyBorder="1" applyAlignment="1">
      <alignment horizontal="center"/>
    </xf>
    <xf numFmtId="0" fontId="0" fillId="0" borderId="16" xfId="0" applyBorder="1"/>
    <xf numFmtId="0" fontId="0" fillId="0" borderId="4" xfId="0" applyBorder="1" applyAlignment="1">
      <alignment horizontal="center"/>
    </xf>
    <xf numFmtId="164" fontId="0" fillId="0" borderId="6" xfId="0" applyNumberFormat="1" applyBorder="1"/>
    <xf numFmtId="164" fontId="0" fillId="0" borderId="8" xfId="0" applyNumberFormat="1" applyBorder="1"/>
    <xf numFmtId="0" fontId="1" fillId="0" borderId="14" xfId="0" applyFont="1" applyBorder="1" applyAlignment="1">
      <alignment horizontal="center"/>
    </xf>
    <xf numFmtId="168" fontId="0" fillId="0" borderId="6" xfId="1" applyNumberFormat="1" applyFont="1" applyBorder="1"/>
    <xf numFmtId="168" fontId="0" fillId="0" borderId="0" xfId="1" applyNumberFormat="1" applyFont="1" applyBorder="1"/>
    <xf numFmtId="168" fontId="0" fillId="0" borderId="7" xfId="1" applyNumberFormat="1" applyFont="1" applyBorder="1"/>
    <xf numFmtId="168" fontId="0" fillId="0" borderId="6" xfId="0" applyNumberFormat="1" applyBorder="1"/>
    <xf numFmtId="168" fontId="0" fillId="0" borderId="0" xfId="0" applyNumberFormat="1" applyBorder="1"/>
    <xf numFmtId="168" fontId="0" fillId="0" borderId="7" xfId="0" applyNumberFormat="1" applyBorder="1"/>
    <xf numFmtId="168" fontId="0" fillId="0" borderId="8" xfId="1" applyNumberFormat="1" applyFont="1" applyBorder="1"/>
    <xf numFmtId="168" fontId="0" fillId="0" borderId="11" xfId="1" applyNumberFormat="1" applyFont="1" applyBorder="1"/>
    <xf numFmtId="168" fontId="0" fillId="0" borderId="9" xfId="1" applyNumberFormat="1" applyFont="1" applyBorder="1"/>
    <xf numFmtId="0" fontId="0" fillId="0" borderId="6" xfId="0" applyBorder="1" applyAlignment="1"/>
    <xf numFmtId="0" fontId="1" fillId="0" borderId="4" xfId="0" applyFont="1" applyBorder="1"/>
    <xf numFmtId="169" fontId="0" fillId="0" borderId="15" xfId="1" applyNumberFormat="1" applyFont="1" applyBorder="1"/>
    <xf numFmtId="0" fontId="1" fillId="0" borderId="14" xfId="0" applyFont="1" applyBorder="1"/>
    <xf numFmtId="0" fontId="8" fillId="0" borderId="15" xfId="0" applyFont="1" applyBorder="1" applyAlignment="1">
      <alignment horizontal="center"/>
    </xf>
    <xf numFmtId="0" fontId="0" fillId="0" borderId="15" xfId="0" applyBorder="1" applyAlignment="1"/>
    <xf numFmtId="0" fontId="1" fillId="0" borderId="0" xfId="0" applyFont="1" applyBorder="1"/>
    <xf numFmtId="0" fontId="1" fillId="0" borderId="0" xfId="0" applyFont="1" applyAlignment="1">
      <alignment horizontal="center"/>
    </xf>
    <xf numFmtId="0" fontId="1" fillId="0" borderId="0" xfId="0" applyFont="1" applyAlignment="1">
      <alignment horizontal="left"/>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3:A20"/>
  <sheetViews>
    <sheetView tabSelected="1" workbookViewId="0">
      <selection activeCell="A6" sqref="A6:A7"/>
    </sheetView>
  </sheetViews>
  <sheetFormatPr defaultRowHeight="12.75"/>
  <sheetData>
    <row r="3" spans="1:1">
      <c r="A3" s="51" t="s">
        <v>226</v>
      </c>
    </row>
    <row r="6" spans="1:1">
      <c r="A6" s="51" t="s">
        <v>227</v>
      </c>
    </row>
    <row r="7" spans="1:1">
      <c r="A7" s="51" t="s">
        <v>228</v>
      </c>
    </row>
    <row r="9" spans="1:1">
      <c r="A9" s="51" t="s">
        <v>229</v>
      </c>
    </row>
    <row r="10" spans="1:1">
      <c r="A10" s="51" t="s">
        <v>230</v>
      </c>
    </row>
    <row r="11" spans="1:1">
      <c r="A11" s="51" t="s">
        <v>231</v>
      </c>
    </row>
    <row r="12" spans="1:1">
      <c r="A12" s="51" t="s">
        <v>232</v>
      </c>
    </row>
    <row r="13" spans="1:1">
      <c r="A13" s="51" t="s">
        <v>233</v>
      </c>
    </row>
    <row r="14" spans="1:1">
      <c r="A14" s="51"/>
    </row>
    <row r="15" spans="1:1">
      <c r="A15" s="51" t="s">
        <v>235</v>
      </c>
    </row>
    <row r="16" spans="1:1">
      <c r="A16" s="51"/>
    </row>
    <row r="17" spans="1:1">
      <c r="A17" s="51"/>
    </row>
    <row r="18" spans="1:1">
      <c r="A18" s="51"/>
    </row>
    <row r="20" spans="1:1">
      <c r="A20" s="51"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O258"/>
  <sheetViews>
    <sheetView zoomScaleNormal="100" workbookViewId="0">
      <selection activeCell="AE41" sqref="AE41:AP51"/>
    </sheetView>
  </sheetViews>
  <sheetFormatPr defaultRowHeight="12.75"/>
  <cols>
    <col min="3" max="3" width="11.5703125" customWidth="1"/>
    <col min="4" max="4" width="14.42578125" customWidth="1"/>
    <col min="5" max="11" width="9.42578125" customWidth="1"/>
    <col min="12" max="12" width="12.42578125" customWidth="1"/>
    <col min="16" max="16" width="9.28515625" customWidth="1"/>
    <col min="18" max="18" width="10.140625" customWidth="1"/>
    <col min="19" max="19" width="9.85546875" customWidth="1"/>
    <col min="20" max="22" width="10.140625" customWidth="1"/>
    <col min="23" max="23" width="10" customWidth="1"/>
    <col min="24" max="24" width="10.140625" customWidth="1"/>
    <col min="25" max="25" width="10.28515625" customWidth="1"/>
    <col min="26" max="26" width="9.140625" style="19"/>
    <col min="29" max="37" width="9.28515625" customWidth="1"/>
    <col min="38" max="38" width="11.42578125" customWidth="1"/>
    <col min="112" max="120" width="9.28515625" bestFit="1" customWidth="1"/>
  </cols>
  <sheetData>
    <row r="1" spans="1:93">
      <c r="A1" s="52" t="s">
        <v>194</v>
      </c>
      <c r="B1" t="s">
        <v>129</v>
      </c>
      <c r="C1" t="s">
        <v>40</v>
      </c>
      <c r="E1" t="s">
        <v>157</v>
      </c>
      <c r="P1" t="s">
        <v>41</v>
      </c>
      <c r="AC1" t="s">
        <v>42</v>
      </c>
      <c r="BF1" t="s">
        <v>57</v>
      </c>
      <c r="BS1" t="s">
        <v>58</v>
      </c>
      <c r="CF1" t="s">
        <v>59</v>
      </c>
    </row>
    <row r="2" spans="1:93">
      <c r="A2" s="52" t="s">
        <v>195</v>
      </c>
      <c r="C2">
        <v>1</v>
      </c>
      <c r="D2">
        <f>+C2+1</f>
        <v>2</v>
      </c>
      <c r="E2">
        <f t="shared" ref="E2:L2" si="0">+D2+1</f>
        <v>3</v>
      </c>
      <c r="F2">
        <f t="shared" si="0"/>
        <v>4</v>
      </c>
      <c r="G2">
        <f t="shared" si="0"/>
        <v>5</v>
      </c>
      <c r="H2">
        <f t="shared" si="0"/>
        <v>6</v>
      </c>
      <c r="I2">
        <f t="shared" si="0"/>
        <v>7</v>
      </c>
      <c r="J2">
        <f t="shared" si="0"/>
        <v>8</v>
      </c>
      <c r="K2">
        <f t="shared" si="0"/>
        <v>9</v>
      </c>
      <c r="L2">
        <f t="shared" si="0"/>
        <v>10</v>
      </c>
    </row>
    <row r="3" spans="1:93" ht="38.25">
      <c r="A3" s="15"/>
      <c r="B3" s="16" t="s">
        <v>44</v>
      </c>
      <c r="C3" s="25" t="s">
        <v>69</v>
      </c>
      <c r="D3" s="25" t="s">
        <v>70</v>
      </c>
      <c r="E3" s="25" t="s">
        <v>71</v>
      </c>
      <c r="F3" s="25" t="s">
        <v>72</v>
      </c>
      <c r="G3" s="25" t="s">
        <v>73</v>
      </c>
      <c r="H3" s="25" t="s">
        <v>74</v>
      </c>
      <c r="I3" s="25" t="s">
        <v>75</v>
      </c>
      <c r="J3" s="25" t="s">
        <v>76</v>
      </c>
      <c r="K3" s="25" t="s">
        <v>77</v>
      </c>
      <c r="L3" s="25" t="s">
        <v>78</v>
      </c>
      <c r="N3" s="15"/>
      <c r="O3" s="17" t="s">
        <v>44</v>
      </c>
      <c r="P3" s="25" t="s">
        <v>79</v>
      </c>
      <c r="Q3" s="25" t="s">
        <v>80</v>
      </c>
      <c r="R3" s="25" t="s">
        <v>81</v>
      </c>
      <c r="S3" s="25" t="s">
        <v>82</v>
      </c>
      <c r="T3" s="25" t="s">
        <v>83</v>
      </c>
      <c r="U3" s="25" t="s">
        <v>84</v>
      </c>
      <c r="V3" s="25" t="s">
        <v>85</v>
      </c>
      <c r="W3" s="25" t="s">
        <v>86</v>
      </c>
      <c r="X3" s="25" t="s">
        <v>87</v>
      </c>
      <c r="Y3" s="25" t="s">
        <v>88</v>
      </c>
      <c r="Z3" s="25"/>
      <c r="AA3" s="18"/>
      <c r="AB3" s="16" t="s">
        <v>44</v>
      </c>
      <c r="AC3" s="25" t="s">
        <v>89</v>
      </c>
      <c r="AD3" s="25" t="s">
        <v>90</v>
      </c>
      <c r="AE3" s="25" t="s">
        <v>91</v>
      </c>
      <c r="AF3" s="25" t="s">
        <v>92</v>
      </c>
      <c r="AG3" s="25" t="s">
        <v>93</v>
      </c>
      <c r="AH3" s="25" t="s">
        <v>94</v>
      </c>
      <c r="AI3" s="25" t="s">
        <v>95</v>
      </c>
      <c r="AJ3" s="25" t="s">
        <v>96</v>
      </c>
      <c r="AK3" s="25" t="s">
        <v>97</v>
      </c>
      <c r="AL3" s="25" t="s">
        <v>98</v>
      </c>
      <c r="BD3" s="15"/>
      <c r="BE3" s="17" t="s">
        <v>44</v>
      </c>
      <c r="BF3" s="25" t="s">
        <v>99</v>
      </c>
      <c r="BG3" s="25" t="s">
        <v>100</v>
      </c>
      <c r="BH3" s="25" t="s">
        <v>101</v>
      </c>
      <c r="BI3" s="25" t="s">
        <v>102</v>
      </c>
      <c r="BJ3" s="25" t="s">
        <v>103</v>
      </c>
      <c r="BK3" s="25" t="s">
        <v>104</v>
      </c>
      <c r="BL3" s="25" t="s">
        <v>105</v>
      </c>
      <c r="BM3" s="25" t="s">
        <v>106</v>
      </c>
      <c r="BN3" s="25" t="s">
        <v>107</v>
      </c>
      <c r="BO3" s="25" t="s">
        <v>108</v>
      </c>
      <c r="BQ3" s="15"/>
      <c r="BR3" s="17" t="s">
        <v>44</v>
      </c>
      <c r="BS3" s="25" t="s">
        <v>109</v>
      </c>
      <c r="BT3" s="25" t="s">
        <v>110</v>
      </c>
      <c r="BU3" s="25" t="s">
        <v>111</v>
      </c>
      <c r="BV3" s="25" t="s">
        <v>112</v>
      </c>
      <c r="BW3" s="25" t="s">
        <v>113</v>
      </c>
      <c r="BX3" s="25" t="s">
        <v>114</v>
      </c>
      <c r="BY3" s="25" t="s">
        <v>115</v>
      </c>
      <c r="BZ3" s="25" t="s">
        <v>116</v>
      </c>
      <c r="CA3" s="25" t="s">
        <v>117</v>
      </c>
      <c r="CB3" s="25" t="s">
        <v>118</v>
      </c>
      <c r="CC3" s="20"/>
      <c r="CD3" s="15"/>
      <c r="CE3" s="17" t="s">
        <v>44</v>
      </c>
      <c r="CF3" s="25" t="s">
        <v>119</v>
      </c>
      <c r="CG3" s="25" t="s">
        <v>120</v>
      </c>
      <c r="CH3" s="25" t="s">
        <v>121</v>
      </c>
      <c r="CI3" s="25" t="s">
        <v>122</v>
      </c>
      <c r="CJ3" s="25" t="s">
        <v>123</v>
      </c>
      <c r="CK3" s="25" t="s">
        <v>124</v>
      </c>
      <c r="CL3" s="25" t="s">
        <v>125</v>
      </c>
      <c r="CM3" s="25" t="s">
        <v>126</v>
      </c>
      <c r="CN3" s="25" t="s">
        <v>127</v>
      </c>
      <c r="CO3" s="25" t="s">
        <v>128</v>
      </c>
    </row>
    <row r="4" spans="1:93">
      <c r="A4" s="15">
        <v>1</v>
      </c>
      <c r="B4" s="15" t="s">
        <v>45</v>
      </c>
      <c r="C4" s="26"/>
      <c r="D4" s="26"/>
      <c r="E4" s="26"/>
      <c r="F4" s="26"/>
      <c r="G4" s="26"/>
      <c r="H4" s="26"/>
      <c r="I4" s="26"/>
      <c r="J4" s="26"/>
      <c r="K4" s="26"/>
      <c r="L4" s="26"/>
      <c r="N4" s="15"/>
      <c r="O4" s="15"/>
      <c r="P4" s="26"/>
      <c r="Q4" s="26"/>
      <c r="R4" s="26"/>
      <c r="S4" s="26"/>
      <c r="T4" s="26"/>
      <c r="U4" s="26"/>
      <c r="V4" s="26"/>
      <c r="W4" s="26"/>
      <c r="X4" s="26"/>
      <c r="Y4" s="26"/>
      <c r="Z4" s="26"/>
      <c r="AA4" s="15"/>
      <c r="AB4" s="15"/>
      <c r="AC4" s="26"/>
      <c r="AD4" s="26"/>
      <c r="AE4" s="26"/>
      <c r="AF4" s="26"/>
      <c r="AG4" s="26"/>
      <c r="AH4" s="26"/>
      <c r="AI4" s="26"/>
      <c r="AJ4" s="26"/>
      <c r="AK4" s="26"/>
      <c r="AL4" s="26"/>
      <c r="BD4" s="15">
        <v>1</v>
      </c>
      <c r="BE4" s="15" t="s">
        <v>45</v>
      </c>
      <c r="BF4" s="26">
        <v>4558685</v>
      </c>
      <c r="BG4" s="26">
        <v>3058821</v>
      </c>
      <c r="BH4" s="26">
        <v>3072217</v>
      </c>
      <c r="BI4" s="26">
        <v>2243014</v>
      </c>
      <c r="BJ4" s="26">
        <v>1264168</v>
      </c>
      <c r="BK4" s="26">
        <v>1610836</v>
      </c>
      <c r="BL4" s="26">
        <v>1247305</v>
      </c>
      <c r="BM4" s="26">
        <v>1436237</v>
      </c>
      <c r="BN4" s="26">
        <v>1178391</v>
      </c>
      <c r="BO4" s="26">
        <v>1116682</v>
      </c>
      <c r="BQ4" s="15">
        <v>1</v>
      </c>
      <c r="BR4" s="15" t="s">
        <v>45</v>
      </c>
      <c r="BS4" s="26">
        <v>1675420</v>
      </c>
      <c r="BT4" s="26">
        <v>765916</v>
      </c>
      <c r="BU4" s="26">
        <v>398776</v>
      </c>
      <c r="BV4" s="26">
        <v>213377</v>
      </c>
      <c r="BW4" s="26">
        <v>127261</v>
      </c>
      <c r="BX4" s="26">
        <v>78077</v>
      </c>
      <c r="BY4" s="26">
        <v>57668</v>
      </c>
      <c r="BZ4" s="26">
        <v>40756</v>
      </c>
      <c r="CA4" s="26">
        <v>37203</v>
      </c>
      <c r="CB4" s="26">
        <v>28702</v>
      </c>
      <c r="CC4" s="21"/>
      <c r="CD4" s="15">
        <v>1</v>
      </c>
      <c r="CE4" s="15" t="s">
        <v>45</v>
      </c>
      <c r="CF4" s="26">
        <v>3808897</v>
      </c>
      <c r="CG4" s="26">
        <v>1987229</v>
      </c>
      <c r="CH4" s="26">
        <v>1683449</v>
      </c>
      <c r="CI4" s="26">
        <v>1318720</v>
      </c>
      <c r="CJ4" s="26">
        <v>1191938</v>
      </c>
      <c r="CK4" s="26">
        <v>1473000</v>
      </c>
      <c r="CL4" s="26">
        <v>938543</v>
      </c>
      <c r="CM4" s="26">
        <v>1420775</v>
      </c>
      <c r="CN4" s="26">
        <v>1001929</v>
      </c>
      <c r="CO4" s="26">
        <v>880806</v>
      </c>
    </row>
    <row r="5" spans="1:93">
      <c r="A5" s="15">
        <v>2</v>
      </c>
      <c r="B5" s="15">
        <v>1994</v>
      </c>
      <c r="C5" s="26">
        <f>+C42</f>
        <v>6809</v>
      </c>
      <c r="D5" s="26">
        <f t="shared" ref="D5:L13" si="1">+D42</f>
        <v>6544</v>
      </c>
      <c r="E5" s="26">
        <f t="shared" si="1"/>
        <v>6490</v>
      </c>
      <c r="F5" s="26">
        <f t="shared" si="1"/>
        <v>6667</v>
      </c>
      <c r="G5" s="26">
        <f t="shared" si="1"/>
        <v>6688</v>
      </c>
      <c r="H5" s="26">
        <f t="shared" si="1"/>
        <v>6685</v>
      </c>
      <c r="I5" s="26">
        <f t="shared" si="1"/>
        <v>6610</v>
      </c>
      <c r="J5" s="26">
        <f t="shared" si="1"/>
        <v>6613</v>
      </c>
      <c r="K5" s="26">
        <f t="shared" si="1"/>
        <v>6599</v>
      </c>
      <c r="L5" s="26">
        <f t="shared" si="1"/>
        <v>6598</v>
      </c>
      <c r="N5" s="15">
        <v>2</v>
      </c>
      <c r="O5" s="15">
        <f>+B5</f>
        <v>1994</v>
      </c>
      <c r="P5" s="26">
        <f t="shared" ref="P5:P14" si="2">+R42</f>
        <v>2978</v>
      </c>
      <c r="Q5" s="26">
        <f t="shared" ref="Q5:Y5" si="3">+S42</f>
        <v>4031</v>
      </c>
      <c r="R5" s="26">
        <f t="shared" si="3"/>
        <v>4623</v>
      </c>
      <c r="S5" s="26">
        <f t="shared" si="3"/>
        <v>5368</v>
      </c>
      <c r="T5" s="26">
        <f t="shared" si="3"/>
        <v>5842</v>
      </c>
      <c r="U5" s="26">
        <f t="shared" si="3"/>
        <v>6019</v>
      </c>
      <c r="V5" s="26">
        <f t="shared" si="3"/>
        <v>6191</v>
      </c>
      <c r="W5" s="26">
        <f t="shared" si="3"/>
        <v>6348</v>
      </c>
      <c r="X5" s="26">
        <f t="shared" si="3"/>
        <v>6389</v>
      </c>
      <c r="Y5" s="26">
        <f t="shared" si="3"/>
        <v>6424</v>
      </c>
      <c r="Z5" s="26"/>
      <c r="AA5" s="15">
        <v>2</v>
      </c>
      <c r="AB5" s="15">
        <f>+O5</f>
        <v>1994</v>
      </c>
      <c r="AC5" s="26">
        <f>+AG42</f>
        <v>1937</v>
      </c>
      <c r="AD5" s="26">
        <f t="shared" ref="AD5:AL14" si="4">+AH42</f>
        <v>966</v>
      </c>
      <c r="AE5" s="26">
        <f t="shared" si="4"/>
        <v>563</v>
      </c>
      <c r="AF5" s="26">
        <f t="shared" si="4"/>
        <v>534</v>
      </c>
      <c r="AG5" s="26">
        <f t="shared" si="4"/>
        <v>490</v>
      </c>
      <c r="AH5" s="26">
        <f t="shared" si="4"/>
        <v>380</v>
      </c>
      <c r="AI5" s="26">
        <f t="shared" si="4"/>
        <v>259</v>
      </c>
      <c r="AJ5" s="26">
        <f t="shared" si="4"/>
        <v>160</v>
      </c>
      <c r="AK5" s="26">
        <f t="shared" si="4"/>
        <v>97</v>
      </c>
      <c r="AL5" s="26">
        <f t="shared" si="4"/>
        <v>64</v>
      </c>
      <c r="BD5" s="15">
        <v>2</v>
      </c>
      <c r="BE5" s="15">
        <f>+AB5</f>
        <v>1994</v>
      </c>
      <c r="BF5" s="26">
        <v>8769295</v>
      </c>
      <c r="BG5" s="26">
        <v>12323427</v>
      </c>
      <c r="BH5" s="26">
        <v>13027350</v>
      </c>
      <c r="BI5" s="26">
        <v>13264018</v>
      </c>
      <c r="BJ5" s="26">
        <v>13366301</v>
      </c>
      <c r="BK5" s="26">
        <v>13447491</v>
      </c>
      <c r="BL5" s="26">
        <v>13489389</v>
      </c>
      <c r="BM5" s="26">
        <v>13454796</v>
      </c>
      <c r="BN5" s="26">
        <v>13529306</v>
      </c>
      <c r="BO5" s="26">
        <v>13553170</v>
      </c>
      <c r="BQ5" s="15">
        <v>2</v>
      </c>
      <c r="BR5" s="15">
        <f>+BE5</f>
        <v>1994</v>
      </c>
      <c r="BS5" s="26">
        <v>3857400</v>
      </c>
      <c r="BT5" s="26">
        <v>1080414</v>
      </c>
      <c r="BU5" s="26">
        <v>466843</v>
      </c>
      <c r="BV5" s="26">
        <v>229181</v>
      </c>
      <c r="BW5" s="26">
        <v>117180</v>
      </c>
      <c r="BX5" s="26">
        <v>55778</v>
      </c>
      <c r="BY5" s="26">
        <v>37475</v>
      </c>
      <c r="BZ5" s="26">
        <v>17824</v>
      </c>
      <c r="CA5" s="26">
        <v>10880</v>
      </c>
      <c r="CB5" s="26">
        <v>7825</v>
      </c>
      <c r="CC5" s="21"/>
      <c r="CD5" s="15">
        <v>2</v>
      </c>
      <c r="CE5" s="15">
        <f>+BR5</f>
        <v>1994</v>
      </c>
      <c r="CF5" s="26">
        <v>16757237</v>
      </c>
      <c r="CG5" s="26">
        <v>18603900</v>
      </c>
      <c r="CH5" s="26">
        <v>18853334</v>
      </c>
      <c r="CI5" s="26">
        <v>18930374</v>
      </c>
      <c r="CJ5" s="26">
        <v>19054975</v>
      </c>
      <c r="CK5" s="26">
        <v>19109958</v>
      </c>
      <c r="CL5" s="26">
        <v>19070247</v>
      </c>
      <c r="CM5" s="26">
        <v>19112295</v>
      </c>
      <c r="CN5" s="26">
        <v>19171639</v>
      </c>
      <c r="CO5" s="26">
        <v>19182838</v>
      </c>
    </row>
    <row r="6" spans="1:93">
      <c r="A6" s="15">
        <v>3</v>
      </c>
      <c r="B6" s="15">
        <f>+B5+1</f>
        <v>1995</v>
      </c>
      <c r="C6" s="26">
        <v>0</v>
      </c>
      <c r="D6" s="26">
        <f t="shared" si="1"/>
        <v>6601</v>
      </c>
      <c r="E6" s="26">
        <f t="shared" si="1"/>
        <v>6411</v>
      </c>
      <c r="F6" s="26">
        <f t="shared" si="1"/>
        <v>6437</v>
      </c>
      <c r="G6" s="26">
        <f t="shared" si="1"/>
        <v>6363</v>
      </c>
      <c r="H6" s="26">
        <f t="shared" si="1"/>
        <v>6474</v>
      </c>
      <c r="I6" s="26">
        <f t="shared" si="1"/>
        <v>6435</v>
      </c>
      <c r="J6" s="26">
        <f t="shared" si="1"/>
        <v>6306</v>
      </c>
      <c r="K6" s="26">
        <f t="shared" si="1"/>
        <v>6200</v>
      </c>
      <c r="L6" s="26">
        <f t="shared" si="1"/>
        <v>6196</v>
      </c>
      <c r="N6" s="15">
        <v>3</v>
      </c>
      <c r="O6" s="15">
        <f t="shared" ref="O6:O14" si="5">+B6</f>
        <v>1995</v>
      </c>
      <c r="P6" s="26">
        <f t="shared" si="2"/>
        <v>0</v>
      </c>
      <c r="Q6" s="26">
        <f t="shared" ref="Q6:Y6" si="6">+S43</f>
        <v>2776</v>
      </c>
      <c r="R6" s="26">
        <f t="shared" si="6"/>
        <v>3843</v>
      </c>
      <c r="S6" s="26">
        <f t="shared" si="6"/>
        <v>4512</v>
      </c>
      <c r="T6" s="26">
        <f t="shared" si="6"/>
        <v>5063</v>
      </c>
      <c r="U6" s="26">
        <f t="shared" si="6"/>
        <v>5548</v>
      </c>
      <c r="V6" s="26">
        <f t="shared" si="6"/>
        <v>5849</v>
      </c>
      <c r="W6" s="26">
        <f t="shared" si="6"/>
        <v>5953</v>
      </c>
      <c r="X6" s="26">
        <f t="shared" si="6"/>
        <v>5997</v>
      </c>
      <c r="Y6" s="26">
        <f t="shared" si="6"/>
        <v>6022</v>
      </c>
      <c r="Z6" s="26"/>
      <c r="AA6" s="15">
        <v>3</v>
      </c>
      <c r="AB6" s="15">
        <f t="shared" ref="AB6:AB14" si="7">+O6</f>
        <v>1995</v>
      </c>
      <c r="AC6" s="26">
        <f t="shared" ref="AC6:AC14" si="8">+AG43</f>
        <v>0</v>
      </c>
      <c r="AD6" s="26">
        <f t="shared" si="4"/>
        <v>1570</v>
      </c>
      <c r="AE6" s="26">
        <f t="shared" si="4"/>
        <v>1134</v>
      </c>
      <c r="AF6" s="26">
        <f t="shared" si="4"/>
        <v>729</v>
      </c>
      <c r="AG6" s="26">
        <f t="shared" si="4"/>
        <v>419</v>
      </c>
      <c r="AH6" s="26">
        <f t="shared" si="4"/>
        <v>411</v>
      </c>
      <c r="AI6" s="26">
        <f t="shared" si="4"/>
        <v>369</v>
      </c>
      <c r="AJ6" s="26">
        <f t="shared" si="4"/>
        <v>255</v>
      </c>
      <c r="AK6" s="26">
        <f t="shared" si="4"/>
        <v>134</v>
      </c>
      <c r="AL6" s="26">
        <f t="shared" si="4"/>
        <v>86</v>
      </c>
      <c r="BD6" s="15">
        <v>3</v>
      </c>
      <c r="BE6" s="15">
        <f t="shared" ref="BE6:BE14" si="9">+AB6</f>
        <v>1995</v>
      </c>
      <c r="BF6" s="26">
        <v>0</v>
      </c>
      <c r="BG6" s="26">
        <v>9022118</v>
      </c>
      <c r="BH6" s="26">
        <v>12727529</v>
      </c>
      <c r="BI6" s="26">
        <v>13442738</v>
      </c>
      <c r="BJ6" s="26">
        <v>13724075</v>
      </c>
      <c r="BK6" s="26">
        <v>13857905</v>
      </c>
      <c r="BL6" s="26">
        <v>13939763</v>
      </c>
      <c r="BM6" s="26">
        <v>13901526</v>
      </c>
      <c r="BN6" s="26">
        <v>13995477</v>
      </c>
      <c r="BO6" s="26">
        <v>14017684</v>
      </c>
      <c r="BQ6" s="15">
        <v>3</v>
      </c>
      <c r="BR6" s="15">
        <f t="shared" ref="BR6:BR14" si="10">+BE6</f>
        <v>1995</v>
      </c>
      <c r="BS6" s="26">
        <v>0</v>
      </c>
      <c r="BT6" s="26">
        <v>4058544</v>
      </c>
      <c r="BU6" s="26">
        <v>1115808</v>
      </c>
      <c r="BV6" s="26">
        <v>500606</v>
      </c>
      <c r="BW6" s="26">
        <v>255638</v>
      </c>
      <c r="BX6" s="26">
        <v>114806</v>
      </c>
      <c r="BY6" s="26">
        <v>63784</v>
      </c>
      <c r="BZ6" s="26">
        <v>32609</v>
      </c>
      <c r="CA6" s="26">
        <v>19097</v>
      </c>
      <c r="CB6" s="26">
        <v>12366</v>
      </c>
      <c r="CC6" s="21"/>
      <c r="CD6" s="15">
        <v>3</v>
      </c>
      <c r="CE6" s="15">
        <f t="shared" ref="CE6:CE14" si="11">+BR6</f>
        <v>1995</v>
      </c>
      <c r="CF6" s="26">
        <v>0</v>
      </c>
      <c r="CG6" s="26">
        <v>17321859</v>
      </c>
      <c r="CH6" s="26">
        <v>19254868</v>
      </c>
      <c r="CI6" s="26">
        <v>19505772</v>
      </c>
      <c r="CJ6" s="26">
        <v>19702535</v>
      </c>
      <c r="CK6" s="26">
        <v>19740096</v>
      </c>
      <c r="CL6" s="26">
        <v>19741668</v>
      </c>
      <c r="CM6" s="26">
        <v>19800040</v>
      </c>
      <c r="CN6" s="26">
        <v>19876385</v>
      </c>
      <c r="CO6" s="26">
        <v>19878582</v>
      </c>
    </row>
    <row r="7" spans="1:93">
      <c r="A7" s="15">
        <v>4</v>
      </c>
      <c r="B7" s="15">
        <f t="shared" ref="B7:B14" si="12">+B6+1</f>
        <v>1996</v>
      </c>
      <c r="C7" s="26">
        <v>0</v>
      </c>
      <c r="D7" s="26">
        <v>0</v>
      </c>
      <c r="E7" s="26">
        <f t="shared" si="1"/>
        <v>6962</v>
      </c>
      <c r="F7" s="26">
        <f t="shared" si="1"/>
        <v>6712</v>
      </c>
      <c r="G7" s="26">
        <f t="shared" si="1"/>
        <v>7233</v>
      </c>
      <c r="H7" s="26">
        <f t="shared" si="1"/>
        <v>6897</v>
      </c>
      <c r="I7" s="26">
        <f t="shared" si="1"/>
        <v>6842</v>
      </c>
      <c r="J7" s="26">
        <f t="shared" si="1"/>
        <v>6722</v>
      </c>
      <c r="K7" s="26">
        <f t="shared" si="1"/>
        <v>6570</v>
      </c>
      <c r="L7" s="26">
        <f t="shared" si="1"/>
        <v>6506</v>
      </c>
      <c r="N7" s="15">
        <v>4</v>
      </c>
      <c r="O7" s="15">
        <f t="shared" si="5"/>
        <v>1996</v>
      </c>
      <c r="P7" s="26">
        <f t="shared" si="2"/>
        <v>0</v>
      </c>
      <c r="Q7" s="26">
        <f t="shared" ref="Q7:Y7" si="13">+S44</f>
        <v>0</v>
      </c>
      <c r="R7" s="26">
        <f t="shared" si="13"/>
        <v>2924</v>
      </c>
      <c r="S7" s="26">
        <f t="shared" si="13"/>
        <v>4313</v>
      </c>
      <c r="T7" s="26">
        <f t="shared" si="13"/>
        <v>4946</v>
      </c>
      <c r="U7" s="26">
        <f t="shared" si="13"/>
        <v>5416</v>
      </c>
      <c r="V7" s="26">
        <f t="shared" si="13"/>
        <v>5927</v>
      </c>
      <c r="W7" s="26">
        <f t="shared" si="13"/>
        <v>6131</v>
      </c>
      <c r="X7" s="26">
        <f t="shared" si="13"/>
        <v>6253</v>
      </c>
      <c r="Y7" s="26">
        <f t="shared" si="13"/>
        <v>6305</v>
      </c>
      <c r="Z7" s="9"/>
      <c r="AA7" s="15">
        <v>4</v>
      </c>
      <c r="AB7" s="15">
        <f t="shared" si="7"/>
        <v>1996</v>
      </c>
      <c r="AC7" s="26">
        <f t="shared" si="8"/>
        <v>0</v>
      </c>
      <c r="AD7" s="26">
        <f t="shared" si="4"/>
        <v>0</v>
      </c>
      <c r="AE7" s="26">
        <f t="shared" si="4"/>
        <v>2062</v>
      </c>
      <c r="AF7" s="26">
        <f t="shared" si="4"/>
        <v>998</v>
      </c>
      <c r="AG7" s="26">
        <f t="shared" si="4"/>
        <v>1068</v>
      </c>
      <c r="AH7" s="26">
        <f t="shared" si="4"/>
        <v>601</v>
      </c>
      <c r="AI7" s="26">
        <f t="shared" si="4"/>
        <v>573</v>
      </c>
      <c r="AJ7" s="26">
        <f t="shared" si="4"/>
        <v>405</v>
      </c>
      <c r="AK7" s="26">
        <f t="shared" si="4"/>
        <v>231</v>
      </c>
      <c r="AL7" s="26">
        <f t="shared" si="4"/>
        <v>139</v>
      </c>
      <c r="BD7" s="15">
        <v>4</v>
      </c>
      <c r="BE7" s="15">
        <f t="shared" si="9"/>
        <v>1996</v>
      </c>
      <c r="BF7" s="9">
        <v>0</v>
      </c>
      <c r="BG7" s="9">
        <v>0</v>
      </c>
      <c r="BH7" s="9">
        <v>9457265</v>
      </c>
      <c r="BI7" s="9">
        <v>13251877</v>
      </c>
      <c r="BJ7" s="9">
        <v>14288610</v>
      </c>
      <c r="BK7" s="9">
        <v>14292728</v>
      </c>
      <c r="BL7" s="9">
        <v>14422735</v>
      </c>
      <c r="BM7" s="9">
        <v>14407355</v>
      </c>
      <c r="BN7" s="9">
        <v>14530096</v>
      </c>
      <c r="BO7" s="9">
        <v>14560649</v>
      </c>
      <c r="BQ7" s="15">
        <v>4</v>
      </c>
      <c r="BR7" s="15">
        <f t="shared" si="10"/>
        <v>1996</v>
      </c>
      <c r="BS7" s="9">
        <v>0</v>
      </c>
      <c r="BT7" s="9">
        <v>0</v>
      </c>
      <c r="BU7" s="9">
        <v>4177024</v>
      </c>
      <c r="BV7" s="9">
        <v>1147844</v>
      </c>
      <c r="BW7" s="9">
        <v>549365</v>
      </c>
      <c r="BX7" s="9">
        <v>248957</v>
      </c>
      <c r="BY7" s="9">
        <v>129325</v>
      </c>
      <c r="BZ7" s="9">
        <v>65815</v>
      </c>
      <c r="CA7" s="9">
        <v>37939</v>
      </c>
      <c r="CB7" s="9">
        <v>24231</v>
      </c>
      <c r="CC7" s="21"/>
      <c r="CD7" s="15">
        <v>4</v>
      </c>
      <c r="CE7" s="15">
        <f t="shared" si="11"/>
        <v>1996</v>
      </c>
      <c r="CF7" s="9">
        <v>0</v>
      </c>
      <c r="CG7" s="9">
        <v>0</v>
      </c>
      <c r="CH7" s="9">
        <v>18125085</v>
      </c>
      <c r="CI7" s="9">
        <v>20062043</v>
      </c>
      <c r="CJ7" s="9">
        <v>20426266</v>
      </c>
      <c r="CK7" s="9">
        <v>20527145</v>
      </c>
      <c r="CL7" s="9">
        <v>20489136</v>
      </c>
      <c r="CM7" s="9">
        <v>20570926</v>
      </c>
      <c r="CN7" s="9">
        <v>20670309</v>
      </c>
      <c r="CO7" s="9">
        <v>20682014</v>
      </c>
    </row>
    <row r="8" spans="1:93">
      <c r="A8" s="15">
        <v>5</v>
      </c>
      <c r="B8" s="15">
        <f t="shared" si="12"/>
        <v>1997</v>
      </c>
      <c r="C8" s="9">
        <v>0</v>
      </c>
      <c r="D8" s="9">
        <v>0</v>
      </c>
      <c r="E8" s="9">
        <v>0</v>
      </c>
      <c r="F8" s="26">
        <f t="shared" si="1"/>
        <v>7117</v>
      </c>
      <c r="G8" s="26">
        <f t="shared" si="1"/>
        <v>6749</v>
      </c>
      <c r="H8" s="26">
        <f t="shared" si="1"/>
        <v>6736</v>
      </c>
      <c r="I8" s="26">
        <f t="shared" si="1"/>
        <v>6696</v>
      </c>
      <c r="J8" s="26">
        <f t="shared" si="1"/>
        <v>6511</v>
      </c>
      <c r="K8" s="26">
        <f t="shared" si="1"/>
        <v>6227</v>
      </c>
      <c r="L8" s="26">
        <f t="shared" si="1"/>
        <v>6256</v>
      </c>
      <c r="N8" s="15">
        <v>5</v>
      </c>
      <c r="O8" s="15">
        <f t="shared" si="5"/>
        <v>1997</v>
      </c>
      <c r="P8" s="26">
        <f t="shared" si="2"/>
        <v>0</v>
      </c>
      <c r="Q8" s="26">
        <f t="shared" ref="Q8:Y8" si="14">+S45</f>
        <v>0</v>
      </c>
      <c r="R8" s="26">
        <f t="shared" si="14"/>
        <v>0</v>
      </c>
      <c r="S8" s="26">
        <f t="shared" si="14"/>
        <v>2308</v>
      </c>
      <c r="T8" s="26">
        <f t="shared" si="14"/>
        <v>3446</v>
      </c>
      <c r="U8" s="26">
        <f t="shared" si="14"/>
        <v>4174</v>
      </c>
      <c r="V8" s="26">
        <f t="shared" si="14"/>
        <v>4998</v>
      </c>
      <c r="W8" s="26">
        <f t="shared" si="14"/>
        <v>5434</v>
      </c>
      <c r="X8" s="26">
        <f t="shared" si="14"/>
        <v>5690</v>
      </c>
      <c r="Y8" s="26">
        <f t="shared" si="14"/>
        <v>5867</v>
      </c>
      <c r="Z8" s="9"/>
      <c r="AA8" s="15">
        <v>5</v>
      </c>
      <c r="AB8" s="15">
        <f t="shared" si="7"/>
        <v>1997</v>
      </c>
      <c r="AC8" s="26">
        <f t="shared" si="8"/>
        <v>0</v>
      </c>
      <c r="AD8" s="26">
        <f t="shared" si="4"/>
        <v>0</v>
      </c>
      <c r="AE8" s="26">
        <f t="shared" si="4"/>
        <v>0</v>
      </c>
      <c r="AF8" s="26">
        <f t="shared" si="4"/>
        <v>2606</v>
      </c>
      <c r="AG8" s="26">
        <f t="shared" si="4"/>
        <v>1626</v>
      </c>
      <c r="AH8" s="26">
        <f t="shared" si="4"/>
        <v>1044</v>
      </c>
      <c r="AI8" s="26">
        <f t="shared" si="4"/>
        <v>833</v>
      </c>
      <c r="AJ8" s="26">
        <f t="shared" si="4"/>
        <v>633</v>
      </c>
      <c r="AK8" s="26">
        <f t="shared" si="4"/>
        <v>302</v>
      </c>
      <c r="AL8" s="26">
        <f t="shared" si="4"/>
        <v>207</v>
      </c>
      <c r="BD8" s="15">
        <v>5</v>
      </c>
      <c r="BE8" s="15">
        <f t="shared" si="9"/>
        <v>1997</v>
      </c>
      <c r="BF8" s="9">
        <v>0</v>
      </c>
      <c r="BG8" s="9">
        <v>0</v>
      </c>
      <c r="BH8" s="9">
        <v>0</v>
      </c>
      <c r="BI8" s="9">
        <v>9618302</v>
      </c>
      <c r="BJ8" s="9">
        <v>13442238</v>
      </c>
      <c r="BK8" s="9">
        <v>14209641</v>
      </c>
      <c r="BL8" s="9">
        <v>14517120</v>
      </c>
      <c r="BM8" s="9">
        <v>14549479</v>
      </c>
      <c r="BN8" s="9">
        <v>14673396</v>
      </c>
      <c r="BO8" s="9">
        <v>14715816</v>
      </c>
      <c r="BQ8" s="15">
        <v>5</v>
      </c>
      <c r="BR8" s="15">
        <f t="shared" si="10"/>
        <v>1997</v>
      </c>
      <c r="BS8" s="9">
        <v>0</v>
      </c>
      <c r="BT8" s="9">
        <v>0</v>
      </c>
      <c r="BU8" s="9">
        <v>0</v>
      </c>
      <c r="BV8" s="9">
        <v>4215457</v>
      </c>
      <c r="BW8" s="9">
        <v>1204079</v>
      </c>
      <c r="BX8" s="9">
        <v>503879</v>
      </c>
      <c r="BY8" s="9">
        <v>263567</v>
      </c>
      <c r="BZ8" s="9">
        <v>126604</v>
      </c>
      <c r="CA8" s="9">
        <v>68846</v>
      </c>
      <c r="CB8" s="9">
        <v>42988</v>
      </c>
      <c r="CC8" s="21"/>
      <c r="CD8" s="15">
        <v>5</v>
      </c>
      <c r="CE8" s="15">
        <f t="shared" si="11"/>
        <v>1997</v>
      </c>
      <c r="CF8" s="9">
        <v>0</v>
      </c>
      <c r="CG8" s="9">
        <v>0</v>
      </c>
      <c r="CH8" s="9">
        <v>0</v>
      </c>
      <c r="CI8" s="9">
        <v>18488908</v>
      </c>
      <c r="CJ8" s="9">
        <v>20575352</v>
      </c>
      <c r="CK8" s="9">
        <v>20809063</v>
      </c>
      <c r="CL8" s="9">
        <v>20842167</v>
      </c>
      <c r="CM8" s="9">
        <v>20953781</v>
      </c>
      <c r="CN8" s="9">
        <v>21032364</v>
      </c>
      <c r="CO8" s="9">
        <v>21065537</v>
      </c>
    </row>
    <row r="9" spans="1:93">
      <c r="A9" s="15">
        <v>6</v>
      </c>
      <c r="B9" s="15">
        <f t="shared" si="12"/>
        <v>1998</v>
      </c>
      <c r="C9" s="9">
        <v>0</v>
      </c>
      <c r="D9" s="9">
        <v>0</v>
      </c>
      <c r="E9" s="9">
        <v>0</v>
      </c>
      <c r="F9" s="9">
        <v>0</v>
      </c>
      <c r="G9" s="26">
        <f t="shared" si="1"/>
        <v>7377</v>
      </c>
      <c r="H9" s="26">
        <f t="shared" si="1"/>
        <v>7492</v>
      </c>
      <c r="I9" s="26">
        <f t="shared" si="1"/>
        <v>7366</v>
      </c>
      <c r="J9" s="26">
        <f t="shared" si="1"/>
        <v>6975</v>
      </c>
      <c r="K9" s="26">
        <f t="shared" si="1"/>
        <v>6835</v>
      </c>
      <c r="L9" s="26">
        <f t="shared" si="1"/>
        <v>6786</v>
      </c>
      <c r="N9" s="15">
        <v>6</v>
      </c>
      <c r="O9" s="15">
        <f t="shared" si="5"/>
        <v>1998</v>
      </c>
      <c r="P9" s="26">
        <f t="shared" si="2"/>
        <v>0</v>
      </c>
      <c r="Q9" s="26">
        <f t="shared" ref="Q9:Y9" si="15">+S46</f>
        <v>0</v>
      </c>
      <c r="R9" s="26">
        <f t="shared" si="15"/>
        <v>0</v>
      </c>
      <c r="S9" s="26">
        <f t="shared" si="15"/>
        <v>0</v>
      </c>
      <c r="T9" s="26">
        <f t="shared" si="15"/>
        <v>2763</v>
      </c>
      <c r="U9" s="26">
        <f t="shared" si="15"/>
        <v>4050</v>
      </c>
      <c r="V9" s="26">
        <f t="shared" si="15"/>
        <v>4719</v>
      </c>
      <c r="W9" s="26">
        <f t="shared" si="15"/>
        <v>5304</v>
      </c>
      <c r="X9" s="26">
        <f t="shared" si="15"/>
        <v>5861</v>
      </c>
      <c r="Y9" s="26">
        <f t="shared" si="15"/>
        <v>6093</v>
      </c>
      <c r="Z9" s="9"/>
      <c r="AA9" s="15">
        <v>6</v>
      </c>
      <c r="AB9" s="15">
        <f t="shared" si="7"/>
        <v>1998</v>
      </c>
      <c r="AC9" s="26">
        <f t="shared" si="8"/>
        <v>0</v>
      </c>
      <c r="AD9" s="26">
        <f t="shared" si="4"/>
        <v>0</v>
      </c>
      <c r="AE9" s="26">
        <f t="shared" si="4"/>
        <v>0</v>
      </c>
      <c r="AF9" s="26">
        <f t="shared" si="4"/>
        <v>0</v>
      </c>
      <c r="AG9" s="26">
        <f t="shared" si="4"/>
        <v>2289</v>
      </c>
      <c r="AH9" s="26">
        <f t="shared" si="4"/>
        <v>1779</v>
      </c>
      <c r="AI9" s="26">
        <f t="shared" si="4"/>
        <v>1199</v>
      </c>
      <c r="AJ9" s="26">
        <f t="shared" si="4"/>
        <v>815</v>
      </c>
      <c r="AK9" s="26">
        <f t="shared" si="4"/>
        <v>506</v>
      </c>
      <c r="AL9" s="26">
        <f t="shared" si="4"/>
        <v>282</v>
      </c>
      <c r="BD9" s="15">
        <v>6</v>
      </c>
      <c r="BE9" s="15">
        <f t="shared" si="9"/>
        <v>1998</v>
      </c>
      <c r="BF9" s="9">
        <v>0</v>
      </c>
      <c r="BG9" s="9">
        <v>0</v>
      </c>
      <c r="BH9" s="9">
        <v>0</v>
      </c>
      <c r="BI9" s="9">
        <v>0</v>
      </c>
      <c r="BJ9" s="9">
        <v>9897459</v>
      </c>
      <c r="BK9" s="9">
        <v>13834035</v>
      </c>
      <c r="BL9" s="9">
        <v>14698036</v>
      </c>
      <c r="BM9" s="9">
        <v>14900354</v>
      </c>
      <c r="BN9" s="9">
        <v>15012522</v>
      </c>
      <c r="BO9" s="9">
        <v>15084975</v>
      </c>
      <c r="BQ9" s="15">
        <v>6</v>
      </c>
      <c r="BR9" s="15">
        <f t="shared" si="10"/>
        <v>1998</v>
      </c>
      <c r="BS9" s="9">
        <v>0</v>
      </c>
      <c r="BT9" s="9">
        <v>0</v>
      </c>
      <c r="BU9" s="9">
        <v>0</v>
      </c>
      <c r="BV9" s="9">
        <v>0</v>
      </c>
      <c r="BW9" s="9">
        <v>4354748</v>
      </c>
      <c r="BX9" s="9">
        <v>1128288</v>
      </c>
      <c r="BY9" s="9">
        <v>505868</v>
      </c>
      <c r="BZ9" s="9">
        <v>247323</v>
      </c>
      <c r="CA9" s="9">
        <v>124134</v>
      </c>
      <c r="CB9" s="9">
        <v>73387</v>
      </c>
      <c r="CC9" s="21"/>
      <c r="CD9" s="15">
        <v>6</v>
      </c>
      <c r="CE9" s="15">
        <f t="shared" si="11"/>
        <v>1998</v>
      </c>
      <c r="CF9" s="9">
        <v>0</v>
      </c>
      <c r="CG9" s="9">
        <v>0</v>
      </c>
      <c r="CH9" s="9">
        <v>0</v>
      </c>
      <c r="CI9" s="9">
        <v>0</v>
      </c>
      <c r="CJ9" s="9">
        <v>19073106</v>
      </c>
      <c r="CK9" s="9">
        <v>21030607</v>
      </c>
      <c r="CL9" s="9">
        <v>21337545</v>
      </c>
      <c r="CM9" s="9">
        <v>21522007</v>
      </c>
      <c r="CN9" s="9">
        <v>21540812</v>
      </c>
      <c r="CO9" s="9">
        <v>21587986</v>
      </c>
    </row>
    <row r="10" spans="1:93">
      <c r="A10" s="15">
        <v>7</v>
      </c>
      <c r="B10" s="15">
        <f t="shared" si="12"/>
        <v>1999</v>
      </c>
      <c r="C10" s="9">
        <v>0</v>
      </c>
      <c r="D10" s="9">
        <v>0</v>
      </c>
      <c r="E10" s="9">
        <v>0</v>
      </c>
      <c r="F10" s="9">
        <v>0</v>
      </c>
      <c r="G10" s="9">
        <v>0</v>
      </c>
      <c r="H10" s="26">
        <f t="shared" si="1"/>
        <v>9198</v>
      </c>
      <c r="I10" s="26">
        <f t="shared" si="1"/>
        <v>8780</v>
      </c>
      <c r="J10" s="26">
        <f t="shared" si="1"/>
        <v>8390</v>
      </c>
      <c r="K10" s="26">
        <f t="shared" si="1"/>
        <v>7925</v>
      </c>
      <c r="L10" s="26">
        <f t="shared" si="1"/>
        <v>7827</v>
      </c>
      <c r="N10" s="15">
        <v>7</v>
      </c>
      <c r="O10" s="15">
        <f t="shared" si="5"/>
        <v>1999</v>
      </c>
      <c r="P10" s="26">
        <f t="shared" si="2"/>
        <v>0</v>
      </c>
      <c r="Q10" s="26">
        <f t="shared" ref="Q10:Y10" si="16">+S47</f>
        <v>0</v>
      </c>
      <c r="R10" s="26">
        <f t="shared" si="16"/>
        <v>0</v>
      </c>
      <c r="S10" s="26">
        <f t="shared" si="16"/>
        <v>0</v>
      </c>
      <c r="T10" s="26">
        <f t="shared" si="16"/>
        <v>0</v>
      </c>
      <c r="U10" s="26">
        <f t="shared" si="16"/>
        <v>3450</v>
      </c>
      <c r="V10" s="26">
        <f t="shared" si="16"/>
        <v>4795</v>
      </c>
      <c r="W10" s="26">
        <f t="shared" si="16"/>
        <v>5706</v>
      </c>
      <c r="X10" s="26">
        <f t="shared" si="16"/>
        <v>6304</v>
      </c>
      <c r="Y10" s="26">
        <f t="shared" si="16"/>
        <v>6823</v>
      </c>
      <c r="Z10" s="9"/>
      <c r="AA10" s="15">
        <v>7</v>
      </c>
      <c r="AB10" s="15">
        <f t="shared" si="7"/>
        <v>1999</v>
      </c>
      <c r="AC10" s="26">
        <f t="shared" si="8"/>
        <v>0</v>
      </c>
      <c r="AD10" s="26">
        <f t="shared" si="4"/>
        <v>0</v>
      </c>
      <c r="AE10" s="26">
        <f t="shared" si="4"/>
        <v>0</v>
      </c>
      <c r="AF10" s="26">
        <f t="shared" si="4"/>
        <v>0</v>
      </c>
      <c r="AG10" s="26">
        <f t="shared" si="4"/>
        <v>0</v>
      </c>
      <c r="AH10" s="26">
        <f t="shared" si="4"/>
        <v>3085</v>
      </c>
      <c r="AI10" s="26">
        <f t="shared" si="4"/>
        <v>2144</v>
      </c>
      <c r="AJ10" s="26">
        <f t="shared" si="4"/>
        <v>1514</v>
      </c>
      <c r="AK10" s="26">
        <f t="shared" si="4"/>
        <v>881</v>
      </c>
      <c r="AL10" s="26">
        <f t="shared" si="4"/>
        <v>441</v>
      </c>
      <c r="BD10" s="15">
        <v>7</v>
      </c>
      <c r="BE10" s="15">
        <f t="shared" si="9"/>
        <v>1999</v>
      </c>
      <c r="BF10" s="9">
        <v>0</v>
      </c>
      <c r="BG10" s="9">
        <v>0</v>
      </c>
      <c r="BH10" s="9">
        <v>0</v>
      </c>
      <c r="BI10" s="9">
        <v>0</v>
      </c>
      <c r="BJ10" s="9">
        <v>0</v>
      </c>
      <c r="BK10" s="9">
        <v>10518899</v>
      </c>
      <c r="BL10" s="9">
        <v>14805229</v>
      </c>
      <c r="BM10" s="9">
        <v>15505539</v>
      </c>
      <c r="BN10" s="9">
        <v>15784799</v>
      </c>
      <c r="BO10" s="9">
        <v>15923083</v>
      </c>
      <c r="BQ10" s="15">
        <v>7</v>
      </c>
      <c r="BR10" s="15">
        <f t="shared" si="10"/>
        <v>1999</v>
      </c>
      <c r="BS10" s="9">
        <v>0</v>
      </c>
      <c r="BT10" s="9">
        <v>0</v>
      </c>
      <c r="BU10" s="9">
        <v>0</v>
      </c>
      <c r="BV10" s="9">
        <v>0</v>
      </c>
      <c r="BW10" s="9">
        <v>0</v>
      </c>
      <c r="BX10" s="9">
        <v>4379215</v>
      </c>
      <c r="BY10" s="9">
        <v>1146758</v>
      </c>
      <c r="BZ10" s="9">
        <v>501304</v>
      </c>
      <c r="CA10" s="9">
        <v>248286</v>
      </c>
      <c r="CB10" s="9">
        <v>128946</v>
      </c>
      <c r="CC10" s="21"/>
      <c r="CD10" s="15">
        <v>7</v>
      </c>
      <c r="CE10" s="15">
        <f t="shared" si="11"/>
        <v>1999</v>
      </c>
      <c r="CF10" s="9">
        <v>0</v>
      </c>
      <c r="CG10" s="9">
        <v>0</v>
      </c>
      <c r="CH10" s="9">
        <v>0</v>
      </c>
      <c r="CI10" s="9">
        <v>0</v>
      </c>
      <c r="CJ10" s="9">
        <v>0</v>
      </c>
      <c r="CK10" s="9">
        <v>20084550</v>
      </c>
      <c r="CL10" s="9">
        <v>22454354</v>
      </c>
      <c r="CM10" s="9">
        <v>22836159</v>
      </c>
      <c r="CN10" s="9">
        <v>22941145</v>
      </c>
      <c r="CO10" s="9">
        <v>22976656</v>
      </c>
    </row>
    <row r="11" spans="1:93">
      <c r="A11" s="15">
        <v>8</v>
      </c>
      <c r="B11" s="15">
        <f t="shared" si="12"/>
        <v>2000</v>
      </c>
      <c r="C11" s="9">
        <v>0</v>
      </c>
      <c r="D11" s="9">
        <v>0</v>
      </c>
      <c r="E11" s="9">
        <v>0</v>
      </c>
      <c r="F11" s="9">
        <v>0</v>
      </c>
      <c r="G11" s="9">
        <v>0</v>
      </c>
      <c r="H11" s="9">
        <v>0</v>
      </c>
      <c r="I11" s="26">
        <f t="shared" si="1"/>
        <v>9793</v>
      </c>
      <c r="J11" s="26">
        <f t="shared" si="1"/>
        <v>9862</v>
      </c>
      <c r="K11" s="26">
        <f t="shared" si="1"/>
        <v>9019</v>
      </c>
      <c r="L11" s="26">
        <f t="shared" si="1"/>
        <v>8717</v>
      </c>
      <c r="N11" s="15">
        <v>8</v>
      </c>
      <c r="O11" s="15">
        <f t="shared" si="5"/>
        <v>2000</v>
      </c>
      <c r="P11" s="26">
        <f t="shared" si="2"/>
        <v>0</v>
      </c>
      <c r="Q11" s="26">
        <f t="shared" ref="Q11:Y11" si="17">+S48</f>
        <v>0</v>
      </c>
      <c r="R11" s="26">
        <f t="shared" si="17"/>
        <v>0</v>
      </c>
      <c r="S11" s="26">
        <f t="shared" si="17"/>
        <v>0</v>
      </c>
      <c r="T11" s="26">
        <f t="shared" si="17"/>
        <v>0</v>
      </c>
      <c r="U11" s="26">
        <f t="shared" si="17"/>
        <v>0</v>
      </c>
      <c r="V11" s="26">
        <f t="shared" si="17"/>
        <v>3823</v>
      </c>
      <c r="W11" s="26">
        <f t="shared" si="17"/>
        <v>5609</v>
      </c>
      <c r="X11" s="26">
        <f t="shared" si="17"/>
        <v>6278</v>
      </c>
      <c r="Y11" s="26">
        <f t="shared" si="17"/>
        <v>6891</v>
      </c>
      <c r="Z11" s="9"/>
      <c r="AA11" s="15">
        <v>8</v>
      </c>
      <c r="AB11" s="15">
        <f t="shared" si="7"/>
        <v>2000</v>
      </c>
      <c r="AC11" s="26">
        <f t="shared" si="8"/>
        <v>0</v>
      </c>
      <c r="AD11" s="26">
        <f t="shared" si="4"/>
        <v>0</v>
      </c>
      <c r="AE11" s="26">
        <f t="shared" si="4"/>
        <v>0</v>
      </c>
      <c r="AF11" s="26">
        <f t="shared" si="4"/>
        <v>0</v>
      </c>
      <c r="AG11" s="26">
        <f t="shared" si="4"/>
        <v>0</v>
      </c>
      <c r="AH11" s="26">
        <f t="shared" si="4"/>
        <v>0</v>
      </c>
      <c r="AI11" s="26">
        <f t="shared" si="4"/>
        <v>3009</v>
      </c>
      <c r="AJ11" s="26">
        <f t="shared" si="4"/>
        <v>2589</v>
      </c>
      <c r="AK11" s="26">
        <f t="shared" si="4"/>
        <v>1353</v>
      </c>
      <c r="AL11" s="26">
        <f t="shared" si="4"/>
        <v>807</v>
      </c>
      <c r="BD11" s="15">
        <v>8</v>
      </c>
      <c r="BE11" s="15">
        <f t="shared" si="9"/>
        <v>2000</v>
      </c>
      <c r="BF11" s="9">
        <v>0</v>
      </c>
      <c r="BG11" s="9">
        <v>0</v>
      </c>
      <c r="BH11" s="9">
        <v>0</v>
      </c>
      <c r="BI11" s="9">
        <v>0</v>
      </c>
      <c r="BJ11" s="9">
        <v>0</v>
      </c>
      <c r="BK11" s="9">
        <v>0</v>
      </c>
      <c r="BL11" s="9">
        <v>10978755</v>
      </c>
      <c r="BM11" s="9">
        <v>15456376</v>
      </c>
      <c r="BN11" s="9">
        <v>16230287</v>
      </c>
      <c r="BO11" s="9">
        <v>16541899</v>
      </c>
      <c r="BQ11" s="15">
        <v>8</v>
      </c>
      <c r="BR11" s="15">
        <f t="shared" si="10"/>
        <v>2000</v>
      </c>
      <c r="BS11" s="9">
        <v>0</v>
      </c>
      <c r="BT11" s="9">
        <v>0</v>
      </c>
      <c r="BU11" s="9">
        <v>0</v>
      </c>
      <c r="BV11" s="9">
        <v>0</v>
      </c>
      <c r="BW11" s="9">
        <v>0</v>
      </c>
      <c r="BX11" s="9">
        <v>0</v>
      </c>
      <c r="BY11" s="9">
        <v>4563328</v>
      </c>
      <c r="BZ11" s="9">
        <v>1212776</v>
      </c>
      <c r="CA11" s="9">
        <v>536795</v>
      </c>
      <c r="CB11" s="9">
        <v>272218</v>
      </c>
      <c r="CC11" s="21"/>
      <c r="CD11" s="15">
        <v>8</v>
      </c>
      <c r="CE11" s="15">
        <f t="shared" si="11"/>
        <v>2000</v>
      </c>
      <c r="CF11" s="9">
        <v>0</v>
      </c>
      <c r="CG11" s="9">
        <v>0</v>
      </c>
      <c r="CH11" s="9">
        <v>0</v>
      </c>
      <c r="CI11" s="9">
        <v>0</v>
      </c>
      <c r="CJ11" s="9">
        <v>0</v>
      </c>
      <c r="CK11" s="9">
        <v>0</v>
      </c>
      <c r="CL11" s="9">
        <v>21275586</v>
      </c>
      <c r="CM11" s="9">
        <v>23828362</v>
      </c>
      <c r="CN11" s="9">
        <v>24151956</v>
      </c>
      <c r="CO11" s="9">
        <v>24289563</v>
      </c>
    </row>
    <row r="12" spans="1:93">
      <c r="A12" s="15">
        <v>9</v>
      </c>
      <c r="B12" s="15">
        <f t="shared" si="12"/>
        <v>2001</v>
      </c>
      <c r="C12" s="9">
        <v>0</v>
      </c>
      <c r="D12" s="9">
        <v>0</v>
      </c>
      <c r="E12" s="9">
        <v>0</v>
      </c>
      <c r="F12" s="9">
        <v>0</v>
      </c>
      <c r="G12" s="9">
        <v>0</v>
      </c>
      <c r="H12" s="9">
        <v>0</v>
      </c>
      <c r="I12" s="9">
        <v>0</v>
      </c>
      <c r="J12" s="26">
        <f t="shared" si="1"/>
        <v>10031</v>
      </c>
      <c r="K12" s="26">
        <f t="shared" si="1"/>
        <v>9216</v>
      </c>
      <c r="L12" s="26">
        <f t="shared" si="1"/>
        <v>8660</v>
      </c>
      <c r="N12" s="15">
        <v>9</v>
      </c>
      <c r="O12" s="15">
        <f t="shared" si="5"/>
        <v>2001</v>
      </c>
      <c r="P12" s="26">
        <f t="shared" si="2"/>
        <v>0</v>
      </c>
      <c r="Q12" s="26">
        <f t="shared" ref="Q12:Y12" si="18">+S49</f>
        <v>0</v>
      </c>
      <c r="R12" s="26">
        <f t="shared" si="18"/>
        <v>0</v>
      </c>
      <c r="S12" s="26">
        <f t="shared" si="18"/>
        <v>0</v>
      </c>
      <c r="T12" s="26">
        <f t="shared" si="18"/>
        <v>0</v>
      </c>
      <c r="U12" s="26">
        <f t="shared" si="18"/>
        <v>0</v>
      </c>
      <c r="V12" s="26">
        <f t="shared" si="18"/>
        <v>0</v>
      </c>
      <c r="W12" s="26">
        <f t="shared" si="18"/>
        <v>3808</v>
      </c>
      <c r="X12" s="26">
        <f t="shared" si="18"/>
        <v>5267</v>
      </c>
      <c r="Y12" s="26">
        <f t="shared" si="18"/>
        <v>6140</v>
      </c>
      <c r="Z12" s="9"/>
      <c r="AA12" s="15">
        <v>9</v>
      </c>
      <c r="AB12" s="15">
        <f t="shared" si="7"/>
        <v>2001</v>
      </c>
      <c r="AC12" s="26">
        <f t="shared" si="8"/>
        <v>0</v>
      </c>
      <c r="AD12" s="26">
        <f t="shared" si="4"/>
        <v>0</v>
      </c>
      <c r="AE12" s="26">
        <f t="shared" si="4"/>
        <v>0</v>
      </c>
      <c r="AF12" s="26">
        <f t="shared" si="4"/>
        <v>0</v>
      </c>
      <c r="AG12" s="26">
        <f t="shared" si="4"/>
        <v>0</v>
      </c>
      <c r="AH12" s="26">
        <f t="shared" si="4"/>
        <v>0</v>
      </c>
      <c r="AI12" s="26">
        <f t="shared" si="4"/>
        <v>0</v>
      </c>
      <c r="AJ12" s="26">
        <f t="shared" si="4"/>
        <v>3688</v>
      </c>
      <c r="AK12" s="26">
        <f t="shared" si="4"/>
        <v>2278</v>
      </c>
      <c r="AL12" s="26">
        <f t="shared" si="4"/>
        <v>1270</v>
      </c>
      <c r="BD12" s="15">
        <v>9</v>
      </c>
      <c r="BE12" s="15">
        <f t="shared" si="9"/>
        <v>2001</v>
      </c>
      <c r="BF12" s="9">
        <v>0</v>
      </c>
      <c r="BG12" s="9">
        <v>0</v>
      </c>
      <c r="BH12" s="9">
        <v>0</v>
      </c>
      <c r="BI12" s="9">
        <v>0</v>
      </c>
      <c r="BJ12" s="9">
        <v>0</v>
      </c>
      <c r="BK12" s="9">
        <v>0</v>
      </c>
      <c r="BL12" s="9">
        <v>0</v>
      </c>
      <c r="BM12" s="9">
        <v>11209559</v>
      </c>
      <c r="BN12" s="9">
        <v>15534682</v>
      </c>
      <c r="BO12" s="9">
        <v>16294073</v>
      </c>
      <c r="BQ12" s="15">
        <v>9</v>
      </c>
      <c r="BR12" s="15">
        <f t="shared" si="10"/>
        <v>2001</v>
      </c>
      <c r="BS12" s="9">
        <v>0</v>
      </c>
      <c r="BT12" s="9">
        <v>0</v>
      </c>
      <c r="BU12" s="9">
        <v>0</v>
      </c>
      <c r="BV12" s="9">
        <v>0</v>
      </c>
      <c r="BW12" s="9">
        <v>0</v>
      </c>
      <c r="BX12" s="9">
        <v>0</v>
      </c>
      <c r="BY12" s="9">
        <v>0</v>
      </c>
      <c r="BZ12" s="9">
        <v>4564014</v>
      </c>
      <c r="CA12" s="9">
        <v>1169832</v>
      </c>
      <c r="CB12" s="9">
        <v>522060</v>
      </c>
      <c r="CC12" s="21"/>
      <c r="CD12" s="15">
        <v>9</v>
      </c>
      <c r="CE12" s="15">
        <f t="shared" si="11"/>
        <v>2001</v>
      </c>
      <c r="CF12" s="9">
        <v>0</v>
      </c>
      <c r="CG12" s="9">
        <v>0</v>
      </c>
      <c r="CH12" s="9">
        <v>0</v>
      </c>
      <c r="CI12" s="9">
        <v>0</v>
      </c>
      <c r="CJ12" s="9">
        <v>0</v>
      </c>
      <c r="CK12" s="9">
        <v>0</v>
      </c>
      <c r="CL12" s="9">
        <v>0</v>
      </c>
      <c r="CM12" s="9">
        <v>21533280</v>
      </c>
      <c r="CN12" s="9">
        <v>23789405</v>
      </c>
      <c r="CO12" s="9">
        <v>24065067</v>
      </c>
    </row>
    <row r="13" spans="1:93">
      <c r="A13" s="15">
        <v>10</v>
      </c>
      <c r="B13" s="15">
        <f t="shared" si="12"/>
        <v>2002</v>
      </c>
      <c r="C13" s="9">
        <v>0</v>
      </c>
      <c r="D13" s="9">
        <v>0</v>
      </c>
      <c r="E13" s="9">
        <v>0</v>
      </c>
      <c r="F13" s="9">
        <v>0</v>
      </c>
      <c r="G13" s="9">
        <v>0</v>
      </c>
      <c r="H13" s="9">
        <v>0</v>
      </c>
      <c r="I13" s="9">
        <v>0</v>
      </c>
      <c r="J13" s="9">
        <v>0</v>
      </c>
      <c r="K13" s="26">
        <f t="shared" si="1"/>
        <v>11593</v>
      </c>
      <c r="L13" s="26">
        <f>+L50</f>
        <v>10749</v>
      </c>
      <c r="N13" s="15">
        <v>10</v>
      </c>
      <c r="O13" s="15">
        <f t="shared" si="5"/>
        <v>2002</v>
      </c>
      <c r="P13" s="26">
        <f t="shared" si="2"/>
        <v>0</v>
      </c>
      <c r="Q13" s="26">
        <f t="shared" ref="Q13:Y13" si="19">+S50</f>
        <v>0</v>
      </c>
      <c r="R13" s="26">
        <f t="shared" si="19"/>
        <v>0</v>
      </c>
      <c r="S13" s="26">
        <f t="shared" si="19"/>
        <v>0</v>
      </c>
      <c r="T13" s="26">
        <f t="shared" si="19"/>
        <v>0</v>
      </c>
      <c r="U13" s="26">
        <f t="shared" si="19"/>
        <v>0</v>
      </c>
      <c r="V13" s="26">
        <f t="shared" si="19"/>
        <v>0</v>
      </c>
      <c r="W13" s="26">
        <f t="shared" si="19"/>
        <v>0</v>
      </c>
      <c r="X13" s="26">
        <f t="shared" si="19"/>
        <v>4322</v>
      </c>
      <c r="Y13" s="26">
        <f t="shared" si="19"/>
        <v>6422</v>
      </c>
      <c r="Z13" s="9"/>
      <c r="AA13" s="15">
        <v>10</v>
      </c>
      <c r="AB13" s="15">
        <f t="shared" si="7"/>
        <v>2002</v>
      </c>
      <c r="AC13" s="26">
        <f t="shared" si="8"/>
        <v>0</v>
      </c>
      <c r="AD13" s="26">
        <f t="shared" si="4"/>
        <v>0</v>
      </c>
      <c r="AE13" s="26">
        <f t="shared" si="4"/>
        <v>0</v>
      </c>
      <c r="AF13" s="26">
        <f t="shared" si="4"/>
        <v>0</v>
      </c>
      <c r="AG13" s="26">
        <f t="shared" si="4"/>
        <v>0</v>
      </c>
      <c r="AH13" s="26">
        <f t="shared" si="4"/>
        <v>0</v>
      </c>
      <c r="AI13" s="26">
        <f t="shared" si="4"/>
        <v>0</v>
      </c>
      <c r="AJ13" s="26">
        <f t="shared" si="4"/>
        <v>0</v>
      </c>
      <c r="AK13" s="26">
        <f t="shared" si="4"/>
        <v>4004</v>
      </c>
      <c r="AL13" s="26">
        <f t="shared" si="4"/>
        <v>2169</v>
      </c>
      <c r="BD13" s="15">
        <v>10</v>
      </c>
      <c r="BE13" s="15">
        <f t="shared" si="9"/>
        <v>2002</v>
      </c>
      <c r="BF13" s="9">
        <v>0</v>
      </c>
      <c r="BG13" s="9">
        <v>0</v>
      </c>
      <c r="BH13" s="9">
        <v>0</v>
      </c>
      <c r="BI13" s="9">
        <v>0</v>
      </c>
      <c r="BJ13" s="9">
        <v>0</v>
      </c>
      <c r="BK13" s="9">
        <v>0</v>
      </c>
      <c r="BL13" s="9">
        <v>0</v>
      </c>
      <c r="BM13" s="9">
        <v>0</v>
      </c>
      <c r="BN13" s="9">
        <v>11321735</v>
      </c>
      <c r="BO13" s="9">
        <v>15674264</v>
      </c>
      <c r="BQ13" s="15">
        <v>10</v>
      </c>
      <c r="BR13" s="15">
        <f t="shared" si="10"/>
        <v>2002</v>
      </c>
      <c r="BS13" s="9">
        <v>0</v>
      </c>
      <c r="BT13" s="9">
        <v>0</v>
      </c>
      <c r="BU13" s="9">
        <v>0</v>
      </c>
      <c r="BV13" s="9">
        <v>0</v>
      </c>
      <c r="BW13" s="9">
        <v>0</v>
      </c>
      <c r="BX13" s="9">
        <v>0</v>
      </c>
      <c r="BY13" s="9">
        <v>0</v>
      </c>
      <c r="BZ13" s="9">
        <v>0</v>
      </c>
      <c r="CA13" s="9">
        <v>4689843</v>
      </c>
      <c r="CB13" s="9">
        <v>1168600</v>
      </c>
      <c r="CC13" s="21"/>
      <c r="CD13" s="15">
        <v>10</v>
      </c>
      <c r="CE13" s="15">
        <f t="shared" si="11"/>
        <v>2002</v>
      </c>
      <c r="CF13" s="9">
        <v>0</v>
      </c>
      <c r="CG13" s="9">
        <v>0</v>
      </c>
      <c r="CH13" s="9">
        <v>0</v>
      </c>
      <c r="CI13" s="9">
        <v>0</v>
      </c>
      <c r="CJ13" s="9">
        <v>0</v>
      </c>
      <c r="CK13" s="9">
        <v>0</v>
      </c>
      <c r="CL13" s="9">
        <v>0</v>
      </c>
      <c r="CM13" s="9">
        <v>0</v>
      </c>
      <c r="CN13" s="9">
        <v>21716727</v>
      </c>
      <c r="CO13" s="9">
        <v>23898941</v>
      </c>
    </row>
    <row r="14" spans="1:93">
      <c r="A14" s="15">
        <v>11</v>
      </c>
      <c r="B14" s="15">
        <f t="shared" si="12"/>
        <v>2003</v>
      </c>
      <c r="C14" s="9">
        <v>0</v>
      </c>
      <c r="D14" s="9">
        <v>0</v>
      </c>
      <c r="E14" s="9">
        <v>0</v>
      </c>
      <c r="F14" s="9">
        <v>0</v>
      </c>
      <c r="G14" s="9">
        <v>0</v>
      </c>
      <c r="H14" s="9">
        <v>0</v>
      </c>
      <c r="I14" s="9">
        <v>0</v>
      </c>
      <c r="J14" s="9">
        <v>0</v>
      </c>
      <c r="K14" s="9">
        <v>0</v>
      </c>
      <c r="L14" s="26">
        <f>+L51</f>
        <v>14132</v>
      </c>
      <c r="N14" s="15">
        <v>11</v>
      </c>
      <c r="O14" s="15">
        <f t="shared" si="5"/>
        <v>2003</v>
      </c>
      <c r="P14" s="26">
        <f t="shared" si="2"/>
        <v>0</v>
      </c>
      <c r="Q14" s="26">
        <f t="shared" ref="Q14:Y14" si="20">+S51</f>
        <v>0</v>
      </c>
      <c r="R14" s="26">
        <f t="shared" si="20"/>
        <v>0</v>
      </c>
      <c r="S14" s="26">
        <f t="shared" si="20"/>
        <v>0</v>
      </c>
      <c r="T14" s="26">
        <f t="shared" si="20"/>
        <v>0</v>
      </c>
      <c r="U14" s="26">
        <f t="shared" si="20"/>
        <v>0</v>
      </c>
      <c r="V14" s="26">
        <f t="shared" si="20"/>
        <v>0</v>
      </c>
      <c r="W14" s="26">
        <f t="shared" si="20"/>
        <v>0</v>
      </c>
      <c r="X14" s="26">
        <f t="shared" si="20"/>
        <v>0</v>
      </c>
      <c r="Y14" s="26">
        <f t="shared" si="20"/>
        <v>6312</v>
      </c>
      <c r="Z14" s="9"/>
      <c r="AA14" s="15">
        <v>11</v>
      </c>
      <c r="AB14" s="15">
        <f t="shared" si="7"/>
        <v>2003</v>
      </c>
      <c r="AC14" s="26">
        <f t="shared" si="8"/>
        <v>0</v>
      </c>
      <c r="AD14" s="26">
        <f t="shared" si="4"/>
        <v>0</v>
      </c>
      <c r="AE14" s="26">
        <f t="shared" si="4"/>
        <v>0</v>
      </c>
      <c r="AF14" s="26">
        <f t="shared" si="4"/>
        <v>0</v>
      </c>
      <c r="AG14" s="26">
        <f t="shared" si="4"/>
        <v>0</v>
      </c>
      <c r="AH14" s="26">
        <f t="shared" si="4"/>
        <v>0</v>
      </c>
      <c r="AI14" s="26">
        <f t="shared" si="4"/>
        <v>0</v>
      </c>
      <c r="AJ14" s="26">
        <f t="shared" si="4"/>
        <v>0</v>
      </c>
      <c r="AK14" s="26">
        <f t="shared" si="4"/>
        <v>0</v>
      </c>
      <c r="AL14" s="26">
        <f t="shared" si="4"/>
        <v>3958</v>
      </c>
      <c r="BD14" s="15">
        <v>11</v>
      </c>
      <c r="BE14" s="15">
        <f t="shared" si="9"/>
        <v>2003</v>
      </c>
      <c r="BF14" s="9">
        <v>0</v>
      </c>
      <c r="BG14" s="9">
        <v>0</v>
      </c>
      <c r="BH14" s="9">
        <v>0</v>
      </c>
      <c r="BI14" s="9">
        <v>0</v>
      </c>
      <c r="BJ14" s="9">
        <v>0</v>
      </c>
      <c r="BK14" s="9">
        <v>0</v>
      </c>
      <c r="BL14" s="9">
        <v>0</v>
      </c>
      <c r="BM14" s="9">
        <v>0</v>
      </c>
      <c r="BN14" s="9">
        <v>0</v>
      </c>
      <c r="BO14" s="9">
        <v>11267166</v>
      </c>
      <c r="BQ14" s="15">
        <v>11</v>
      </c>
      <c r="BR14" s="15">
        <f t="shared" si="10"/>
        <v>2003</v>
      </c>
      <c r="BS14" s="9">
        <v>0</v>
      </c>
      <c r="BT14" s="9">
        <v>0</v>
      </c>
      <c r="BU14" s="9">
        <v>0</v>
      </c>
      <c r="BV14" s="9">
        <v>0</v>
      </c>
      <c r="BW14" s="9">
        <v>0</v>
      </c>
      <c r="BX14" s="9">
        <v>0</v>
      </c>
      <c r="BY14" s="9">
        <v>0</v>
      </c>
      <c r="BZ14" s="9">
        <v>0</v>
      </c>
      <c r="CA14" s="9">
        <v>0</v>
      </c>
      <c r="CB14" s="9">
        <v>4537862</v>
      </c>
      <c r="CC14" s="21"/>
      <c r="CD14" s="15">
        <v>11</v>
      </c>
      <c r="CE14" s="15">
        <f t="shared" si="11"/>
        <v>2003</v>
      </c>
      <c r="CF14" s="9">
        <v>0</v>
      </c>
      <c r="CG14" s="9">
        <v>0</v>
      </c>
      <c r="CH14" s="9">
        <v>0</v>
      </c>
      <c r="CI14" s="9">
        <v>0</v>
      </c>
      <c r="CJ14" s="9">
        <v>0</v>
      </c>
      <c r="CK14" s="9">
        <v>0</v>
      </c>
      <c r="CL14" s="9">
        <v>0</v>
      </c>
      <c r="CM14" s="9">
        <v>0</v>
      </c>
      <c r="CN14" s="9">
        <v>0</v>
      </c>
      <c r="CO14" s="9">
        <v>21571814</v>
      </c>
    </row>
    <row r="15" spans="1:93">
      <c r="C15">
        <v>0</v>
      </c>
      <c r="D15">
        <v>0</v>
      </c>
      <c r="E15">
        <v>0</v>
      </c>
      <c r="F15">
        <v>0</v>
      </c>
      <c r="G15">
        <v>0</v>
      </c>
      <c r="H15">
        <v>0</v>
      </c>
      <c r="I15">
        <v>0</v>
      </c>
      <c r="J15">
        <v>0</v>
      </c>
      <c r="K15">
        <v>0</v>
      </c>
      <c r="L15">
        <v>0</v>
      </c>
    </row>
    <row r="16" spans="1:93">
      <c r="C16" s="9"/>
      <c r="D16" s="9"/>
      <c r="E16" s="9"/>
      <c r="F16" s="9"/>
      <c r="G16" s="9"/>
      <c r="H16" s="9"/>
      <c r="I16" s="9"/>
      <c r="J16" s="9"/>
      <c r="K16" s="9"/>
      <c r="L16" s="9"/>
      <c r="P16" s="9"/>
      <c r="Q16" s="9"/>
      <c r="R16" s="9"/>
      <c r="S16" s="9"/>
      <c r="T16" s="9"/>
      <c r="U16" s="9"/>
      <c r="V16" s="9"/>
      <c r="W16" s="9"/>
      <c r="X16" s="9"/>
      <c r="Y16" s="9"/>
      <c r="AC16" s="9"/>
      <c r="AD16" s="9"/>
      <c r="AE16" s="9"/>
      <c r="AF16" s="9"/>
      <c r="AG16" s="9"/>
      <c r="AH16" s="9"/>
      <c r="AI16" s="9"/>
      <c r="AJ16" s="9"/>
      <c r="AK16" s="9"/>
      <c r="AL16" s="9"/>
    </row>
    <row r="19" spans="3:55">
      <c r="C19" s="25"/>
    </row>
    <row r="20" spans="3:55" ht="12.75" customHeight="1">
      <c r="C20" s="26"/>
    </row>
    <row r="21" spans="3:55">
      <c r="C21" s="26"/>
      <c r="AO21" s="2"/>
      <c r="BC21" s="2"/>
    </row>
    <row r="22" spans="3:55">
      <c r="C22" s="26"/>
      <c r="O22" s="9"/>
      <c r="P22" s="9"/>
      <c r="Q22" s="9"/>
      <c r="R22" s="9"/>
      <c r="S22" s="9"/>
      <c r="T22" s="9"/>
      <c r="U22" s="9"/>
      <c r="V22" s="9"/>
      <c r="W22" s="9"/>
      <c r="X22" s="9"/>
    </row>
    <row r="23" spans="3:55">
      <c r="C23" s="26"/>
      <c r="O23" s="9"/>
      <c r="P23" s="9"/>
      <c r="Q23" s="9"/>
      <c r="R23" s="9"/>
      <c r="S23" s="9"/>
      <c r="T23" s="9"/>
      <c r="U23" s="9"/>
      <c r="V23" s="9"/>
      <c r="W23" s="9"/>
      <c r="X23" s="9"/>
    </row>
    <row r="24" spans="3:55">
      <c r="C24" s="26"/>
      <c r="O24" s="9"/>
      <c r="P24" s="9"/>
      <c r="Q24" s="9"/>
      <c r="R24" s="9"/>
      <c r="S24" s="9"/>
      <c r="T24" s="9"/>
      <c r="U24" s="9"/>
      <c r="V24" s="9"/>
      <c r="W24" s="9"/>
      <c r="X24" s="9"/>
    </row>
    <row r="25" spans="3:55">
      <c r="C25" s="26"/>
      <c r="O25" s="9"/>
      <c r="P25" s="9"/>
      <c r="Q25" s="9"/>
      <c r="R25" s="9"/>
      <c r="S25" s="9"/>
      <c r="T25" s="9"/>
      <c r="U25" s="9"/>
      <c r="V25" s="9"/>
      <c r="W25" s="9"/>
      <c r="X25" s="9"/>
    </row>
    <row r="26" spans="3:55">
      <c r="C26" s="26"/>
      <c r="O26" s="9"/>
      <c r="P26" s="9"/>
      <c r="Q26" s="9"/>
      <c r="R26" s="9"/>
      <c r="S26" s="9"/>
      <c r="T26" s="9"/>
      <c r="U26" s="9"/>
      <c r="V26" s="9"/>
      <c r="W26" s="9"/>
      <c r="X26" s="9"/>
    </row>
    <row r="27" spans="3:55">
      <c r="C27" s="26"/>
      <c r="O27" s="9"/>
      <c r="P27" s="9"/>
      <c r="Q27" s="9"/>
      <c r="R27" s="9"/>
      <c r="S27" s="9"/>
      <c r="T27" s="9"/>
      <c r="U27" s="9"/>
      <c r="V27" s="9"/>
      <c r="W27" s="9"/>
      <c r="X27" s="9"/>
    </row>
    <row r="28" spans="3:55">
      <c r="C28" s="26"/>
    </row>
    <row r="29" spans="3:55">
      <c r="C29" s="26"/>
    </row>
    <row r="30" spans="3:55">
      <c r="C30" s="26"/>
    </row>
    <row r="31" spans="3:55">
      <c r="C31" s="26"/>
    </row>
    <row r="34" spans="1:43">
      <c r="O34" s="12"/>
      <c r="P34" s="12"/>
      <c r="Q34" s="12"/>
      <c r="R34" s="12"/>
      <c r="S34" s="12"/>
      <c r="T34" s="12"/>
      <c r="U34" s="12"/>
      <c r="V34" s="12"/>
      <c r="W34" s="12"/>
    </row>
    <row r="35" spans="1:43">
      <c r="O35" s="12"/>
      <c r="P35" s="12"/>
      <c r="Q35" s="12"/>
      <c r="R35" s="12"/>
      <c r="S35" s="12"/>
      <c r="T35" s="12"/>
      <c r="U35" s="12"/>
      <c r="V35" s="12"/>
      <c r="W35" s="9"/>
    </row>
    <row r="36" spans="1:43">
      <c r="O36" s="12"/>
      <c r="P36" s="12"/>
      <c r="Q36" s="12"/>
      <c r="R36" s="12"/>
      <c r="S36" s="12"/>
      <c r="T36" s="12"/>
      <c r="U36" s="12"/>
      <c r="V36" s="9"/>
    </row>
    <row r="37" spans="1:43">
      <c r="O37" s="12"/>
      <c r="P37" s="12"/>
      <c r="Q37" s="12"/>
      <c r="R37" s="12"/>
      <c r="S37" s="12"/>
      <c r="T37" s="12"/>
      <c r="U37" s="9"/>
      <c r="W37" s="9"/>
    </row>
    <row r="38" spans="1:43">
      <c r="O38" s="12"/>
      <c r="P38" s="12"/>
      <c r="Q38" s="12"/>
      <c r="R38" s="12"/>
      <c r="S38" s="12"/>
      <c r="T38" s="9"/>
      <c r="V38" s="9"/>
      <c r="W38" s="9"/>
    </row>
    <row r="39" spans="1:43">
      <c r="O39" s="12"/>
      <c r="P39" s="12"/>
      <c r="Q39" s="12"/>
      <c r="R39" s="12"/>
      <c r="S39" s="9"/>
      <c r="U39" s="9"/>
    </row>
    <row r="40" spans="1:43" ht="67.5">
      <c r="B40" s="53" t="s">
        <v>44</v>
      </c>
      <c r="C40" s="53" t="s">
        <v>158</v>
      </c>
      <c r="D40" s="53" t="s">
        <v>159</v>
      </c>
      <c r="E40" s="53" t="s">
        <v>160</v>
      </c>
      <c r="F40" s="53" t="s">
        <v>161</v>
      </c>
      <c r="G40" s="53" t="s">
        <v>162</v>
      </c>
      <c r="H40" s="53" t="s">
        <v>163</v>
      </c>
      <c r="I40" s="53" t="s">
        <v>164</v>
      </c>
      <c r="J40" s="53" t="s">
        <v>165</v>
      </c>
      <c r="K40" s="53" t="s">
        <v>166</v>
      </c>
      <c r="L40" s="53" t="s">
        <v>167</v>
      </c>
      <c r="M40" s="53" t="s">
        <v>168</v>
      </c>
      <c r="N40" s="53" t="s">
        <v>169</v>
      </c>
      <c r="O40" s="57"/>
      <c r="P40" s="54"/>
      <c r="Q40" s="53" t="s">
        <v>44</v>
      </c>
      <c r="R40" s="53" t="s">
        <v>171</v>
      </c>
      <c r="S40" s="53" t="s">
        <v>172</v>
      </c>
      <c r="T40" s="53" t="s">
        <v>173</v>
      </c>
      <c r="U40" s="53" t="s">
        <v>174</v>
      </c>
      <c r="V40" s="53" t="s">
        <v>175</v>
      </c>
      <c r="W40" s="53" t="s">
        <v>176</v>
      </c>
      <c r="X40" s="53" t="s">
        <v>177</v>
      </c>
      <c r="Y40" s="53" t="s">
        <v>178</v>
      </c>
      <c r="Z40" s="53" t="s">
        <v>179</v>
      </c>
      <c r="AA40" s="53" t="s">
        <v>180</v>
      </c>
      <c r="AB40" s="53" t="s">
        <v>181</v>
      </c>
      <c r="AC40" s="53" t="s">
        <v>182</v>
      </c>
      <c r="AF40" s="53" t="s">
        <v>44</v>
      </c>
      <c r="AG40" s="53" t="s">
        <v>183</v>
      </c>
      <c r="AH40" s="53" t="s">
        <v>184</v>
      </c>
      <c r="AI40" s="53" t="s">
        <v>185</v>
      </c>
      <c r="AJ40" s="53" t="s">
        <v>186</v>
      </c>
      <c r="AK40" s="53" t="s">
        <v>187</v>
      </c>
      <c r="AL40" s="53" t="s">
        <v>188</v>
      </c>
      <c r="AM40" s="53" t="s">
        <v>189</v>
      </c>
      <c r="AN40" s="53" t="s">
        <v>190</v>
      </c>
      <c r="AO40" s="53" t="s">
        <v>191</v>
      </c>
      <c r="AP40" s="53" t="s">
        <v>192</v>
      </c>
      <c r="AQ40" s="57"/>
    </row>
    <row r="41" spans="1:43">
      <c r="A41" s="54">
        <v>1</v>
      </c>
      <c r="B41" s="54" t="s">
        <v>45</v>
      </c>
      <c r="C41" s="56">
        <v>6063</v>
      </c>
      <c r="D41" s="56">
        <v>6998</v>
      </c>
      <c r="E41" s="56">
        <v>6386</v>
      </c>
      <c r="F41" s="56">
        <v>6475</v>
      </c>
      <c r="G41" s="56">
        <v>6600</v>
      </c>
      <c r="H41" s="56">
        <v>6610</v>
      </c>
      <c r="I41" s="56">
        <v>6396</v>
      </c>
      <c r="J41" s="56">
        <v>6367</v>
      </c>
      <c r="K41" s="56">
        <v>6343</v>
      </c>
      <c r="L41" s="56">
        <v>6369</v>
      </c>
      <c r="M41" s="55">
        <v>26</v>
      </c>
      <c r="N41" s="55">
        <v>2</v>
      </c>
      <c r="O41" s="12"/>
      <c r="P41" s="54">
        <v>1</v>
      </c>
      <c r="Q41" s="54" t="s">
        <v>45</v>
      </c>
      <c r="R41" s="55"/>
      <c r="S41" s="56">
        <v>2068</v>
      </c>
      <c r="T41" s="56">
        <v>3434</v>
      </c>
      <c r="U41" s="56">
        <v>4299</v>
      </c>
      <c r="V41" s="56">
        <v>4924</v>
      </c>
      <c r="W41" s="56">
        <v>5438</v>
      </c>
      <c r="X41" s="56">
        <v>5672</v>
      </c>
      <c r="Y41" s="56">
        <v>5857</v>
      </c>
      <c r="Z41" s="56">
        <v>5886</v>
      </c>
      <c r="AA41" s="56">
        <v>6015</v>
      </c>
      <c r="AB41" s="55">
        <v>335</v>
      </c>
      <c r="AC41" s="55">
        <v>117</v>
      </c>
      <c r="AE41" s="54">
        <v>1</v>
      </c>
      <c r="AF41" s="54" t="s">
        <v>45</v>
      </c>
      <c r="AG41" s="56">
        <v>2637</v>
      </c>
      <c r="AH41" s="56">
        <v>2300</v>
      </c>
      <c r="AI41" s="56">
        <v>1292</v>
      </c>
      <c r="AJ41" s="56">
        <v>1044</v>
      </c>
      <c r="AK41" s="55">
        <v>805</v>
      </c>
      <c r="AL41" s="55">
        <v>593</v>
      </c>
      <c r="AM41" s="55">
        <v>372</v>
      </c>
      <c r="AN41" s="55">
        <v>278</v>
      </c>
      <c r="AO41" s="55">
        <v>243</v>
      </c>
      <c r="AP41" s="55">
        <v>147</v>
      </c>
    </row>
    <row r="42" spans="1:43">
      <c r="A42" s="54">
        <v>2</v>
      </c>
      <c r="B42" s="54">
        <v>2002</v>
      </c>
      <c r="C42" s="56">
        <v>6809</v>
      </c>
      <c r="D42" s="56">
        <v>6544</v>
      </c>
      <c r="E42" s="56">
        <v>6490</v>
      </c>
      <c r="F42" s="56">
        <v>6667</v>
      </c>
      <c r="G42" s="56">
        <v>6688</v>
      </c>
      <c r="H42" s="56">
        <v>6685</v>
      </c>
      <c r="I42" s="56">
        <v>6610</v>
      </c>
      <c r="J42" s="56">
        <v>6613</v>
      </c>
      <c r="K42" s="56">
        <v>6599</v>
      </c>
      <c r="L42" s="56">
        <v>6598</v>
      </c>
      <c r="M42" s="55">
        <v>-2</v>
      </c>
      <c r="N42" s="55">
        <v>-15</v>
      </c>
      <c r="O42" s="12"/>
      <c r="P42" s="54">
        <v>2</v>
      </c>
      <c r="Q42" s="54">
        <v>2002</v>
      </c>
      <c r="R42" s="56">
        <v>2978</v>
      </c>
      <c r="S42" s="56">
        <v>4031</v>
      </c>
      <c r="T42" s="56">
        <v>4623</v>
      </c>
      <c r="U42" s="56">
        <v>5368</v>
      </c>
      <c r="V42" s="56">
        <v>5842</v>
      </c>
      <c r="W42" s="56">
        <v>6019</v>
      </c>
      <c r="X42" s="56">
        <v>6191</v>
      </c>
      <c r="Y42" s="56">
        <v>6348</v>
      </c>
      <c r="Z42" s="56">
        <v>6389</v>
      </c>
      <c r="AA42" s="56">
        <v>6424</v>
      </c>
      <c r="AB42" s="55">
        <v>638</v>
      </c>
      <c r="AC42" s="55">
        <v>299</v>
      </c>
      <c r="AE42" s="54">
        <v>2</v>
      </c>
      <c r="AF42" s="54">
        <v>2002</v>
      </c>
      <c r="AG42" s="56">
        <v>1937</v>
      </c>
      <c r="AH42" s="55">
        <v>966</v>
      </c>
      <c r="AI42" s="55">
        <v>563</v>
      </c>
      <c r="AJ42" s="55">
        <v>534</v>
      </c>
      <c r="AK42" s="55">
        <v>490</v>
      </c>
      <c r="AL42" s="55">
        <v>380</v>
      </c>
      <c r="AM42" s="55">
        <v>259</v>
      </c>
      <c r="AN42" s="55">
        <v>160</v>
      </c>
      <c r="AO42" s="55">
        <v>97</v>
      </c>
      <c r="AP42" s="55">
        <v>64</v>
      </c>
    </row>
    <row r="43" spans="1:43">
      <c r="A43" s="54">
        <v>3</v>
      </c>
      <c r="B43" s="54">
        <v>2003</v>
      </c>
      <c r="C43" s="55"/>
      <c r="D43" s="56">
        <v>6601</v>
      </c>
      <c r="E43" s="56">
        <v>6411</v>
      </c>
      <c r="F43" s="56">
        <v>6437</v>
      </c>
      <c r="G43" s="56">
        <v>6363</v>
      </c>
      <c r="H43" s="56">
        <v>6474</v>
      </c>
      <c r="I43" s="56">
        <v>6435</v>
      </c>
      <c r="J43" s="56">
        <v>6306</v>
      </c>
      <c r="K43" s="56">
        <v>6200</v>
      </c>
      <c r="L43" s="56">
        <v>6196</v>
      </c>
      <c r="M43" s="55">
        <v>-4</v>
      </c>
      <c r="N43" s="55">
        <v>-110</v>
      </c>
      <c r="P43" s="54">
        <v>3</v>
      </c>
      <c r="Q43" s="54">
        <v>2003</v>
      </c>
      <c r="R43" s="55"/>
      <c r="S43" s="56">
        <v>2776</v>
      </c>
      <c r="T43" s="56">
        <v>3843</v>
      </c>
      <c r="U43" s="56">
        <v>4512</v>
      </c>
      <c r="V43" s="56">
        <v>5063</v>
      </c>
      <c r="W43" s="56">
        <v>5548</v>
      </c>
      <c r="X43" s="56">
        <v>5849</v>
      </c>
      <c r="Y43" s="56">
        <v>5953</v>
      </c>
      <c r="Z43" s="56">
        <v>5997</v>
      </c>
      <c r="AA43" s="56">
        <v>6022</v>
      </c>
      <c r="AB43" s="55">
        <v>545</v>
      </c>
      <c r="AC43" s="55">
        <v>300</v>
      </c>
      <c r="AE43" s="54">
        <v>3</v>
      </c>
      <c r="AF43" s="54">
        <v>2003</v>
      </c>
      <c r="AG43" s="55"/>
      <c r="AH43" s="56">
        <v>1570</v>
      </c>
      <c r="AI43" s="56">
        <v>1134</v>
      </c>
      <c r="AJ43" s="55">
        <v>729</v>
      </c>
      <c r="AK43" s="55">
        <v>419</v>
      </c>
      <c r="AL43" s="55">
        <v>411</v>
      </c>
      <c r="AM43" s="55">
        <v>369</v>
      </c>
      <c r="AN43" s="55">
        <v>255</v>
      </c>
      <c r="AO43" s="55">
        <v>134</v>
      </c>
      <c r="AP43" s="55">
        <v>86</v>
      </c>
    </row>
    <row r="44" spans="1:43">
      <c r="A44" s="54">
        <v>4</v>
      </c>
      <c r="B44" s="54">
        <v>2004</v>
      </c>
      <c r="C44" s="55"/>
      <c r="D44" s="55"/>
      <c r="E44" s="56">
        <v>6962</v>
      </c>
      <c r="F44" s="56">
        <v>6712</v>
      </c>
      <c r="G44" s="56">
        <v>7233</v>
      </c>
      <c r="H44" s="56">
        <v>6897</v>
      </c>
      <c r="I44" s="56">
        <v>6842</v>
      </c>
      <c r="J44" s="56">
        <v>6722</v>
      </c>
      <c r="K44" s="56">
        <v>6570</v>
      </c>
      <c r="L44" s="56">
        <v>6506</v>
      </c>
      <c r="M44" s="55">
        <v>-64</v>
      </c>
      <c r="N44" s="55">
        <v>-216</v>
      </c>
      <c r="P44" s="54">
        <v>4</v>
      </c>
      <c r="Q44" s="54">
        <v>2004</v>
      </c>
      <c r="R44" s="55"/>
      <c r="S44" s="55"/>
      <c r="T44" s="56">
        <v>2924</v>
      </c>
      <c r="U44" s="56">
        <v>4313</v>
      </c>
      <c r="V44" s="56">
        <v>4946</v>
      </c>
      <c r="W44" s="56">
        <v>5416</v>
      </c>
      <c r="X44" s="56">
        <v>5927</v>
      </c>
      <c r="Y44" s="56">
        <v>6131</v>
      </c>
      <c r="Z44" s="56">
        <v>6253</v>
      </c>
      <c r="AA44" s="56">
        <v>6305</v>
      </c>
      <c r="AB44" s="55">
        <v>515</v>
      </c>
      <c r="AC44" s="55">
        <v>304</v>
      </c>
      <c r="AE44" s="54">
        <v>4</v>
      </c>
      <c r="AF44" s="54">
        <v>2004</v>
      </c>
      <c r="AG44" s="55"/>
      <c r="AH44" s="55"/>
      <c r="AI44" s="56">
        <v>2062</v>
      </c>
      <c r="AJ44" s="55">
        <v>998</v>
      </c>
      <c r="AK44" s="56">
        <v>1068</v>
      </c>
      <c r="AL44" s="55">
        <v>601</v>
      </c>
      <c r="AM44" s="55">
        <v>573</v>
      </c>
      <c r="AN44" s="55">
        <v>405</v>
      </c>
      <c r="AO44" s="55">
        <v>231</v>
      </c>
      <c r="AP44" s="55">
        <v>139</v>
      </c>
    </row>
    <row r="45" spans="1:43">
      <c r="A45" s="54">
        <v>5</v>
      </c>
      <c r="B45" s="54">
        <v>2005</v>
      </c>
      <c r="C45" s="55"/>
      <c r="D45" s="55"/>
      <c r="E45" s="55"/>
      <c r="F45" s="56">
        <v>7117</v>
      </c>
      <c r="G45" s="56">
        <v>6749</v>
      </c>
      <c r="H45" s="56">
        <v>6736</v>
      </c>
      <c r="I45" s="56">
        <v>6696</v>
      </c>
      <c r="J45" s="56">
        <v>6511</v>
      </c>
      <c r="K45" s="56">
        <v>6227</v>
      </c>
      <c r="L45" s="56">
        <v>6256</v>
      </c>
      <c r="M45" s="55">
        <v>29</v>
      </c>
      <c r="N45" s="55">
        <v>-254</v>
      </c>
      <c r="P45" s="54">
        <v>5</v>
      </c>
      <c r="Q45" s="54">
        <v>2005</v>
      </c>
      <c r="R45" s="55"/>
      <c r="S45" s="55"/>
      <c r="T45" s="55"/>
      <c r="U45" s="56">
        <v>2308</v>
      </c>
      <c r="V45" s="56">
        <v>3446</v>
      </c>
      <c r="W45" s="56">
        <v>4174</v>
      </c>
      <c r="X45" s="56">
        <v>4998</v>
      </c>
      <c r="Y45" s="56">
        <v>5434</v>
      </c>
      <c r="Z45" s="56">
        <v>5690</v>
      </c>
      <c r="AA45" s="56">
        <v>5867</v>
      </c>
      <c r="AB45" s="55">
        <v>410</v>
      </c>
      <c r="AC45" s="55">
        <v>263</v>
      </c>
      <c r="AE45" s="54">
        <v>5</v>
      </c>
      <c r="AF45" s="54">
        <v>2005</v>
      </c>
      <c r="AG45" s="55"/>
      <c r="AH45" s="55"/>
      <c r="AI45" s="55"/>
      <c r="AJ45" s="56">
        <v>2606</v>
      </c>
      <c r="AK45" s="56">
        <v>1626</v>
      </c>
      <c r="AL45" s="56">
        <v>1044</v>
      </c>
      <c r="AM45" s="55">
        <v>833</v>
      </c>
      <c r="AN45" s="55">
        <v>633</v>
      </c>
      <c r="AO45" s="55">
        <v>302</v>
      </c>
      <c r="AP45" s="55">
        <v>207</v>
      </c>
    </row>
    <row r="46" spans="1:43">
      <c r="A46" s="54">
        <v>6</v>
      </c>
      <c r="B46" s="54">
        <v>2006</v>
      </c>
      <c r="C46" s="55"/>
      <c r="D46" s="55"/>
      <c r="E46" s="55"/>
      <c r="F46" s="55"/>
      <c r="G46" s="56">
        <v>7377</v>
      </c>
      <c r="H46" s="56">
        <v>7492</v>
      </c>
      <c r="I46" s="56">
        <v>7366</v>
      </c>
      <c r="J46" s="56">
        <v>6975</v>
      </c>
      <c r="K46" s="56">
        <v>6835</v>
      </c>
      <c r="L46" s="56">
        <v>6786</v>
      </c>
      <c r="M46" s="55">
        <v>-49</v>
      </c>
      <c r="N46" s="55">
        <v>-189</v>
      </c>
      <c r="P46" s="54">
        <v>6</v>
      </c>
      <c r="Q46" s="54">
        <v>2006</v>
      </c>
      <c r="R46" s="55"/>
      <c r="S46" s="55"/>
      <c r="T46" s="55"/>
      <c r="U46" s="55"/>
      <c r="V46" s="56">
        <v>2763</v>
      </c>
      <c r="W46" s="56">
        <v>4050</v>
      </c>
      <c r="X46" s="56">
        <v>4719</v>
      </c>
      <c r="Y46" s="56">
        <v>5304</v>
      </c>
      <c r="Z46" s="56">
        <v>5861</v>
      </c>
      <c r="AA46" s="56">
        <v>6093</v>
      </c>
      <c r="AB46" s="55">
        <v>445</v>
      </c>
      <c r="AC46" s="55">
        <v>283</v>
      </c>
      <c r="AE46" s="54">
        <v>6</v>
      </c>
      <c r="AF46" s="54">
        <v>2006</v>
      </c>
      <c r="AG46" s="55"/>
      <c r="AH46" s="55"/>
      <c r="AI46" s="55"/>
      <c r="AJ46" s="55"/>
      <c r="AK46" s="56">
        <v>2289</v>
      </c>
      <c r="AL46" s="56">
        <v>1779</v>
      </c>
      <c r="AM46" s="56">
        <v>1199</v>
      </c>
      <c r="AN46" s="55">
        <v>815</v>
      </c>
      <c r="AO46" s="55">
        <v>506</v>
      </c>
      <c r="AP46" s="55">
        <v>282</v>
      </c>
    </row>
    <row r="47" spans="1:43">
      <c r="A47" s="54">
        <v>7</v>
      </c>
      <c r="B47" s="54">
        <v>2007</v>
      </c>
      <c r="C47" s="55"/>
      <c r="D47" s="55"/>
      <c r="E47" s="55"/>
      <c r="F47" s="55"/>
      <c r="G47" s="55"/>
      <c r="H47" s="56">
        <v>9198</v>
      </c>
      <c r="I47" s="56">
        <v>8780</v>
      </c>
      <c r="J47" s="56">
        <v>8390</v>
      </c>
      <c r="K47" s="56">
        <v>7925</v>
      </c>
      <c r="L47" s="56">
        <v>7827</v>
      </c>
      <c r="M47" s="55">
        <v>-98</v>
      </c>
      <c r="N47" s="55">
        <v>-563</v>
      </c>
      <c r="P47" s="54">
        <v>7</v>
      </c>
      <c r="Q47" s="54">
        <v>2007</v>
      </c>
      <c r="R47" s="55"/>
      <c r="S47" s="55"/>
      <c r="T47" s="55"/>
      <c r="U47" s="55"/>
      <c r="V47" s="55"/>
      <c r="W47" s="56">
        <v>3450</v>
      </c>
      <c r="X47" s="56">
        <v>4795</v>
      </c>
      <c r="Y47" s="56">
        <v>5706</v>
      </c>
      <c r="Z47" s="56">
        <v>6304</v>
      </c>
      <c r="AA47" s="56">
        <v>6823</v>
      </c>
      <c r="AB47" s="55">
        <v>441</v>
      </c>
      <c r="AC47" s="55">
        <v>303</v>
      </c>
      <c r="AE47" s="54">
        <v>7</v>
      </c>
      <c r="AF47" s="54">
        <v>2007</v>
      </c>
      <c r="AG47" s="55"/>
      <c r="AH47" s="55"/>
      <c r="AI47" s="55"/>
      <c r="AJ47" s="55"/>
      <c r="AK47" s="55"/>
      <c r="AL47" s="56">
        <v>3085</v>
      </c>
      <c r="AM47" s="56">
        <v>2144</v>
      </c>
      <c r="AN47" s="56">
        <v>1514</v>
      </c>
      <c r="AO47" s="55">
        <v>881</v>
      </c>
      <c r="AP47" s="55">
        <v>441</v>
      </c>
    </row>
    <row r="48" spans="1:43">
      <c r="A48" s="54">
        <v>8</v>
      </c>
      <c r="B48" s="54">
        <v>2008</v>
      </c>
      <c r="C48" s="55"/>
      <c r="D48" s="55"/>
      <c r="E48" s="55"/>
      <c r="F48" s="55"/>
      <c r="G48" s="55"/>
      <c r="H48" s="55"/>
      <c r="I48" s="56">
        <v>9793</v>
      </c>
      <c r="J48" s="56">
        <v>9862</v>
      </c>
      <c r="K48" s="56">
        <v>9019</v>
      </c>
      <c r="L48" s="56">
        <v>8717</v>
      </c>
      <c r="M48" s="55">
        <v>-302</v>
      </c>
      <c r="N48" s="56">
        <v>-1145</v>
      </c>
      <c r="P48" s="54">
        <v>8</v>
      </c>
      <c r="Q48" s="54">
        <v>2008</v>
      </c>
      <c r="R48" s="55"/>
      <c r="S48" s="55"/>
      <c r="T48" s="55"/>
      <c r="U48" s="55"/>
      <c r="V48" s="55"/>
      <c r="W48" s="55"/>
      <c r="X48" s="56">
        <v>3823</v>
      </c>
      <c r="Y48" s="56">
        <v>5609</v>
      </c>
      <c r="Z48" s="56">
        <v>6278</v>
      </c>
      <c r="AA48" s="56">
        <v>6891</v>
      </c>
      <c r="AB48" s="55">
        <v>548</v>
      </c>
      <c r="AC48" s="55">
        <v>351</v>
      </c>
      <c r="AE48" s="54">
        <v>8</v>
      </c>
      <c r="AF48" s="54">
        <v>2008</v>
      </c>
      <c r="AG48" s="55"/>
      <c r="AH48" s="55"/>
      <c r="AI48" s="55"/>
      <c r="AJ48" s="55"/>
      <c r="AK48" s="55"/>
      <c r="AL48" s="55"/>
      <c r="AM48" s="56">
        <v>3009</v>
      </c>
      <c r="AN48" s="56">
        <v>2589</v>
      </c>
      <c r="AO48" s="56">
        <v>1353</v>
      </c>
      <c r="AP48" s="55">
        <v>807</v>
      </c>
    </row>
    <row r="49" spans="1:79">
      <c r="A49" s="54">
        <v>9</v>
      </c>
      <c r="B49" s="54">
        <v>2009</v>
      </c>
      <c r="C49" s="55"/>
      <c r="D49" s="55"/>
      <c r="E49" s="55"/>
      <c r="F49" s="55"/>
      <c r="G49" s="55"/>
      <c r="H49" s="55"/>
      <c r="I49" s="55"/>
      <c r="J49" s="56">
        <v>10031</v>
      </c>
      <c r="K49" s="56">
        <v>9216</v>
      </c>
      <c r="L49" s="56">
        <v>8660</v>
      </c>
      <c r="M49" s="55">
        <v>-556</v>
      </c>
      <c r="N49" s="56">
        <v>-1371</v>
      </c>
      <c r="P49" s="54">
        <v>9</v>
      </c>
      <c r="Q49" s="54">
        <v>2009</v>
      </c>
      <c r="R49" s="55"/>
      <c r="S49" s="55"/>
      <c r="T49" s="55"/>
      <c r="U49" s="55"/>
      <c r="V49" s="55"/>
      <c r="W49" s="55"/>
      <c r="X49" s="55"/>
      <c r="Y49" s="56">
        <v>3808</v>
      </c>
      <c r="Z49" s="56">
        <v>5267</v>
      </c>
      <c r="AA49" s="56">
        <v>6140</v>
      </c>
      <c r="AB49" s="55">
        <v>495</v>
      </c>
      <c r="AC49" s="55">
        <v>349</v>
      </c>
      <c r="AE49" s="54">
        <v>9</v>
      </c>
      <c r="AF49" s="54">
        <v>2009</v>
      </c>
      <c r="AG49" s="55"/>
      <c r="AH49" s="55"/>
      <c r="AI49" s="55"/>
      <c r="AJ49" s="55"/>
      <c r="AK49" s="55"/>
      <c r="AL49" s="55"/>
      <c r="AM49" s="55"/>
      <c r="AN49" s="56">
        <v>3688</v>
      </c>
      <c r="AO49" s="56">
        <v>2278</v>
      </c>
      <c r="AP49" s="56">
        <v>1270</v>
      </c>
      <c r="BS49" t="e">
        <f>+#REF!</f>
        <v>#REF!</v>
      </c>
    </row>
    <row r="50" spans="1:79">
      <c r="A50" s="54">
        <v>10</v>
      </c>
      <c r="B50" s="54">
        <v>2010</v>
      </c>
      <c r="C50" s="55"/>
      <c r="D50" s="55"/>
      <c r="E50" s="55"/>
      <c r="F50" s="55"/>
      <c r="G50" s="55"/>
      <c r="H50" s="55"/>
      <c r="I50" s="55"/>
      <c r="J50" s="55"/>
      <c r="K50" s="56">
        <v>11593</v>
      </c>
      <c r="L50" s="56">
        <v>10749</v>
      </c>
      <c r="M50" s="55">
        <v>-844</v>
      </c>
      <c r="N50" s="55"/>
      <c r="P50" s="54">
        <v>10</v>
      </c>
      <c r="Q50" s="54">
        <v>2010</v>
      </c>
      <c r="R50" s="55"/>
      <c r="S50" s="55"/>
      <c r="T50" s="55"/>
      <c r="U50" s="55"/>
      <c r="V50" s="55"/>
      <c r="W50" s="55"/>
      <c r="X50" s="55"/>
      <c r="Y50" s="55"/>
      <c r="Z50" s="56">
        <v>4322</v>
      </c>
      <c r="AA50" s="56">
        <v>6422</v>
      </c>
      <c r="AB50" s="55">
        <v>520</v>
      </c>
      <c r="AC50" s="55">
        <v>406</v>
      </c>
      <c r="AE50" s="54">
        <v>10</v>
      </c>
      <c r="AF50" s="54">
        <v>2010</v>
      </c>
      <c r="AG50" s="55"/>
      <c r="AH50" s="55"/>
      <c r="AI50" s="55"/>
      <c r="AJ50" s="55"/>
      <c r="AK50" s="55"/>
      <c r="AL50" s="55"/>
      <c r="AM50" s="55"/>
      <c r="AN50" s="55"/>
      <c r="AO50" s="56">
        <v>4004</v>
      </c>
      <c r="AP50" s="56">
        <v>2169</v>
      </c>
    </row>
    <row r="51" spans="1:79">
      <c r="A51" s="54">
        <v>11</v>
      </c>
      <c r="B51" s="54">
        <v>2011</v>
      </c>
      <c r="C51" s="55"/>
      <c r="D51" s="55"/>
      <c r="E51" s="55"/>
      <c r="F51" s="55"/>
      <c r="G51" s="55"/>
      <c r="H51" s="55"/>
      <c r="I51" s="55"/>
      <c r="J51" s="55"/>
      <c r="K51" s="55"/>
      <c r="L51" s="56">
        <v>14132</v>
      </c>
      <c r="M51" s="55"/>
      <c r="N51" s="55"/>
      <c r="P51" s="54">
        <v>11</v>
      </c>
      <c r="Q51" s="54">
        <v>2011</v>
      </c>
      <c r="R51" s="55"/>
      <c r="S51" s="55"/>
      <c r="T51" s="55"/>
      <c r="U51" s="55"/>
      <c r="V51" s="55"/>
      <c r="W51" s="55"/>
      <c r="X51" s="55"/>
      <c r="Y51" s="55"/>
      <c r="Z51" s="55"/>
      <c r="AA51" s="56">
        <v>6312</v>
      </c>
      <c r="AB51" s="55">
        <v>455</v>
      </c>
      <c r="AC51" s="55">
        <v>323</v>
      </c>
      <c r="AE51" s="54">
        <v>11</v>
      </c>
      <c r="AF51" s="54">
        <v>2011</v>
      </c>
      <c r="AG51" s="55"/>
      <c r="AH51" s="55"/>
      <c r="AI51" s="55"/>
      <c r="AJ51" s="55"/>
      <c r="AK51" s="55"/>
      <c r="AL51" s="55"/>
      <c r="AM51" s="55"/>
      <c r="AN51" s="55"/>
      <c r="AO51" s="55"/>
      <c r="AP51" s="56">
        <v>3958</v>
      </c>
      <c r="BQ51" t="e">
        <f>+#REF!</f>
        <v>#REF!</v>
      </c>
    </row>
    <row r="52" spans="1:79">
      <c r="A52" s="54">
        <v>12</v>
      </c>
      <c r="B52" s="54" t="s">
        <v>170</v>
      </c>
      <c r="C52" s="55"/>
      <c r="D52" s="55"/>
      <c r="E52" s="55"/>
      <c r="F52" s="55"/>
      <c r="G52" s="55"/>
      <c r="H52" s="55"/>
      <c r="I52" s="55"/>
      <c r="J52" s="55"/>
      <c r="K52" s="55"/>
      <c r="L52" s="55"/>
      <c r="M52" s="56">
        <v>-1862</v>
      </c>
      <c r="N52" s="56">
        <v>-3861</v>
      </c>
      <c r="BQ52" t="s">
        <v>43</v>
      </c>
    </row>
    <row r="55" spans="1:79">
      <c r="BQ55" t="s">
        <v>19</v>
      </c>
    </row>
    <row r="56" spans="1:79">
      <c r="BQ56" t="s">
        <v>21</v>
      </c>
      <c r="BR56">
        <v>12</v>
      </c>
      <c r="BS56">
        <f>+BR56+12</f>
        <v>24</v>
      </c>
      <c r="BT56">
        <f t="shared" ref="BT56:BY56" si="21">+BS56+12</f>
        <v>36</v>
      </c>
      <c r="BU56">
        <f t="shared" si="21"/>
        <v>48</v>
      </c>
      <c r="BV56">
        <f t="shared" si="21"/>
        <v>60</v>
      </c>
      <c r="BW56">
        <f t="shared" si="21"/>
        <v>72</v>
      </c>
      <c r="BX56">
        <f t="shared" si="21"/>
        <v>84</v>
      </c>
      <c r="BY56">
        <f t="shared" si="21"/>
        <v>96</v>
      </c>
      <c r="BZ56">
        <f>+BY56+12</f>
        <v>108</v>
      </c>
      <c r="CA56">
        <f>+BZ56+12</f>
        <v>120</v>
      </c>
    </row>
    <row r="58" spans="1:79">
      <c r="BQ58">
        <f>+'Paid Tria'!A14</f>
        <v>1994</v>
      </c>
      <c r="BR58" s="9">
        <f t="shared" ref="BR58:CA58" si="22">+BS5</f>
        <v>3857400</v>
      </c>
      <c r="BS58" s="9">
        <f t="shared" si="22"/>
        <v>1080414</v>
      </c>
      <c r="BT58" s="9">
        <f t="shared" si="22"/>
        <v>466843</v>
      </c>
      <c r="BU58" s="9">
        <f t="shared" si="22"/>
        <v>229181</v>
      </c>
      <c r="BV58" s="9">
        <f t="shared" si="22"/>
        <v>117180</v>
      </c>
      <c r="BW58" s="9">
        <f t="shared" si="22"/>
        <v>55778</v>
      </c>
      <c r="BX58" s="9">
        <f t="shared" si="22"/>
        <v>37475</v>
      </c>
      <c r="BY58" s="9">
        <f t="shared" si="22"/>
        <v>17824</v>
      </c>
      <c r="BZ58" s="9">
        <f t="shared" si="22"/>
        <v>10880</v>
      </c>
      <c r="CA58" s="9">
        <f t="shared" si="22"/>
        <v>7825</v>
      </c>
    </row>
    <row r="59" spans="1:79">
      <c r="BQ59">
        <f>+BQ58+1</f>
        <v>1995</v>
      </c>
      <c r="BR59" s="9">
        <f t="shared" ref="BR59:BZ59" si="23">+BT6</f>
        <v>4058544</v>
      </c>
      <c r="BS59" s="9">
        <f t="shared" si="23"/>
        <v>1115808</v>
      </c>
      <c r="BT59" s="9">
        <f t="shared" si="23"/>
        <v>500606</v>
      </c>
      <c r="BU59" s="9">
        <f t="shared" si="23"/>
        <v>255638</v>
      </c>
      <c r="BV59" s="9">
        <f t="shared" si="23"/>
        <v>114806</v>
      </c>
      <c r="BW59" s="9">
        <f t="shared" si="23"/>
        <v>63784</v>
      </c>
      <c r="BX59" s="9">
        <f t="shared" si="23"/>
        <v>32609</v>
      </c>
      <c r="BY59" s="9">
        <f t="shared" si="23"/>
        <v>19097</v>
      </c>
      <c r="BZ59" s="9">
        <f t="shared" si="23"/>
        <v>12366</v>
      </c>
      <c r="CA59" s="9"/>
    </row>
    <row r="60" spans="1:79">
      <c r="BQ60">
        <f t="shared" ref="BQ60:BQ67" si="24">+BQ59+1</f>
        <v>1996</v>
      </c>
      <c r="BR60" s="9">
        <f t="shared" ref="BR60:BY60" si="25">+BU7</f>
        <v>4177024</v>
      </c>
      <c r="BS60" s="9">
        <f t="shared" si="25"/>
        <v>1147844</v>
      </c>
      <c r="BT60" s="9">
        <f t="shared" si="25"/>
        <v>549365</v>
      </c>
      <c r="BU60" s="9">
        <f t="shared" si="25"/>
        <v>248957</v>
      </c>
      <c r="BV60" s="9">
        <f t="shared" si="25"/>
        <v>129325</v>
      </c>
      <c r="BW60" s="9">
        <f t="shared" si="25"/>
        <v>65815</v>
      </c>
      <c r="BX60" s="9">
        <f t="shared" si="25"/>
        <v>37939</v>
      </c>
      <c r="BY60" s="9">
        <f t="shared" si="25"/>
        <v>24231</v>
      </c>
      <c r="BZ60" s="9"/>
      <c r="CA60" s="9"/>
    </row>
    <row r="61" spans="1:79">
      <c r="BQ61">
        <f t="shared" si="24"/>
        <v>1997</v>
      </c>
      <c r="BR61" s="9">
        <f t="shared" ref="BR61:BX61" si="26">+BV8</f>
        <v>4215457</v>
      </c>
      <c r="BS61" s="9">
        <f t="shared" si="26"/>
        <v>1204079</v>
      </c>
      <c r="BT61" s="9">
        <f t="shared" si="26"/>
        <v>503879</v>
      </c>
      <c r="BU61" s="9">
        <f t="shared" si="26"/>
        <v>263567</v>
      </c>
      <c r="BV61" s="9">
        <f t="shared" si="26"/>
        <v>126604</v>
      </c>
      <c r="BW61" s="9">
        <f t="shared" si="26"/>
        <v>68846</v>
      </c>
      <c r="BX61" s="9">
        <f t="shared" si="26"/>
        <v>42988</v>
      </c>
      <c r="BY61" s="9"/>
      <c r="BZ61" s="9"/>
      <c r="CA61" s="9"/>
    </row>
    <row r="62" spans="1:79">
      <c r="BQ62">
        <f t="shared" si="24"/>
        <v>1998</v>
      </c>
      <c r="BR62" s="9">
        <f t="shared" ref="BR62:BW62" si="27">+BW9</f>
        <v>4354748</v>
      </c>
      <c r="BS62" s="9">
        <f t="shared" si="27"/>
        <v>1128288</v>
      </c>
      <c r="BT62" s="9">
        <f t="shared" si="27"/>
        <v>505868</v>
      </c>
      <c r="BU62" s="9">
        <f t="shared" si="27"/>
        <v>247323</v>
      </c>
      <c r="BV62" s="9">
        <f t="shared" si="27"/>
        <v>124134</v>
      </c>
      <c r="BW62" s="9">
        <f t="shared" si="27"/>
        <v>73387</v>
      </c>
      <c r="BX62" s="9"/>
      <c r="BY62" s="9"/>
      <c r="BZ62" s="9"/>
      <c r="CA62" s="9"/>
    </row>
    <row r="63" spans="1:79">
      <c r="BQ63">
        <f t="shared" si="24"/>
        <v>1999</v>
      </c>
      <c r="BR63" s="9">
        <f>+BX10</f>
        <v>4379215</v>
      </c>
      <c r="BS63" s="9">
        <f>+BY10</f>
        <v>1146758</v>
      </c>
      <c r="BT63" s="9">
        <f>+BZ10</f>
        <v>501304</v>
      </c>
      <c r="BU63" s="9">
        <f>+CA10</f>
        <v>248286</v>
      </c>
      <c r="BV63" s="9">
        <f>+CB10</f>
        <v>128946</v>
      </c>
      <c r="BW63" s="9"/>
      <c r="BX63" s="9"/>
      <c r="BY63" s="9"/>
      <c r="BZ63" s="9"/>
      <c r="CA63" s="9"/>
    </row>
    <row r="64" spans="1:79">
      <c r="BQ64">
        <f t="shared" si="24"/>
        <v>2000</v>
      </c>
      <c r="BR64" s="9">
        <f>+BY11</f>
        <v>4563328</v>
      </c>
      <c r="BS64" s="9">
        <f>+BZ11</f>
        <v>1212776</v>
      </c>
      <c r="BT64" s="9">
        <f>+CA11</f>
        <v>536795</v>
      </c>
      <c r="BU64" s="9">
        <f>+CB11</f>
        <v>272218</v>
      </c>
      <c r="BV64" s="9"/>
      <c r="BW64" s="9"/>
      <c r="BX64" s="9"/>
      <c r="BY64" s="9"/>
      <c r="BZ64" s="9"/>
      <c r="CA64" s="9"/>
    </row>
    <row r="65" spans="69:79">
      <c r="BQ65">
        <f t="shared" si="24"/>
        <v>2001</v>
      </c>
      <c r="BR65" s="9">
        <f>+BZ12</f>
        <v>4564014</v>
      </c>
      <c r="BS65" s="9">
        <f>+CA12</f>
        <v>1169832</v>
      </c>
      <c r="BT65" s="9">
        <f>+CB12</f>
        <v>522060</v>
      </c>
      <c r="BU65" s="9"/>
      <c r="BV65" s="9"/>
      <c r="BW65" s="9"/>
      <c r="BX65" s="9"/>
      <c r="BY65" s="9"/>
      <c r="BZ65" s="9"/>
      <c r="CA65" s="9"/>
    </row>
    <row r="66" spans="69:79">
      <c r="BQ66">
        <f t="shared" si="24"/>
        <v>2002</v>
      </c>
      <c r="BR66" s="9">
        <f>+CA13</f>
        <v>4689843</v>
      </c>
      <c r="BS66" s="9">
        <f>+CB13</f>
        <v>1168600</v>
      </c>
      <c r="BT66" s="9"/>
      <c r="BU66" s="9"/>
      <c r="BV66" s="9"/>
      <c r="BW66" s="9"/>
      <c r="BX66" s="9"/>
      <c r="BY66" s="9"/>
      <c r="BZ66" s="9"/>
      <c r="CA66" s="9"/>
    </row>
    <row r="67" spans="69:79">
      <c r="BQ67">
        <f t="shared" si="24"/>
        <v>2003</v>
      </c>
      <c r="BR67" s="9">
        <f>+CB14</f>
        <v>4537862</v>
      </c>
      <c r="BS67" s="9"/>
      <c r="BT67" s="9"/>
      <c r="BU67" s="9"/>
      <c r="BV67" s="9"/>
      <c r="BW67" s="9"/>
      <c r="BX67" s="9"/>
      <c r="BY67" s="9"/>
      <c r="BZ67" s="9"/>
      <c r="CA67" s="9"/>
    </row>
    <row r="134" spans="1:55">
      <c r="AN134" s="2"/>
      <c r="AO134" s="2"/>
      <c r="BB134" s="2"/>
      <c r="BC134" s="2"/>
    </row>
    <row r="135" spans="1:55" ht="19.5">
      <c r="AD135" s="1"/>
      <c r="AE135" s="1"/>
      <c r="AF135" s="1"/>
      <c r="AG135" s="1"/>
      <c r="AH135" s="1"/>
      <c r="AI135" s="1"/>
      <c r="AJ135" s="1"/>
      <c r="AK135" s="1"/>
      <c r="AN135" s="2"/>
      <c r="AO135" s="2"/>
      <c r="AR135" s="1"/>
      <c r="AS135" s="1"/>
      <c r="AT135" s="1"/>
      <c r="AU135" s="1"/>
      <c r="AV135" s="1"/>
      <c r="AW135" s="1"/>
      <c r="AX135" s="1"/>
      <c r="AY135" s="1"/>
      <c r="BB135" s="2"/>
      <c r="BC135" s="2"/>
    </row>
    <row r="136" spans="1:55" ht="15.75">
      <c r="A136" s="3"/>
      <c r="B136" s="3"/>
      <c r="C136" s="3"/>
      <c r="D136" s="3"/>
      <c r="E136" s="3"/>
      <c r="F136" s="3"/>
      <c r="G136" s="3"/>
      <c r="H136" s="3"/>
      <c r="K136" s="2"/>
      <c r="AD136" s="3"/>
      <c r="AE136" s="3"/>
      <c r="AF136" s="3"/>
      <c r="AG136" s="3"/>
      <c r="AH136" s="3"/>
      <c r="AI136" s="3"/>
      <c r="AJ136" s="3"/>
      <c r="AK136" s="3"/>
      <c r="AN136" s="2"/>
      <c r="AO136" s="2"/>
      <c r="AR136" s="3"/>
      <c r="AS136" s="3"/>
      <c r="AT136" s="3"/>
      <c r="AU136" s="3"/>
      <c r="AV136" s="3"/>
      <c r="AW136" s="3"/>
      <c r="AX136" s="3"/>
      <c r="AY136" s="3"/>
      <c r="BB136" s="2"/>
      <c r="BC136" s="2"/>
    </row>
    <row r="137" spans="1:55">
      <c r="A137" s="4"/>
      <c r="B137" s="5"/>
      <c r="C137" s="5"/>
      <c r="D137" s="5"/>
      <c r="E137" s="5"/>
      <c r="F137" s="5"/>
      <c r="G137" s="5"/>
      <c r="H137" s="5"/>
      <c r="K137" s="2"/>
      <c r="AC137" s="4"/>
      <c r="AD137" s="4"/>
      <c r="AE137" s="4"/>
      <c r="AF137" s="4"/>
      <c r="AG137" s="4"/>
      <c r="AH137" s="4"/>
      <c r="AI137" s="4"/>
      <c r="AJ137" s="4"/>
      <c r="AK137" s="4"/>
      <c r="AL137" s="4"/>
      <c r="AN137" s="2"/>
      <c r="AO137" s="2"/>
      <c r="AQ137" s="4"/>
      <c r="AR137" s="4"/>
      <c r="AS137" s="4"/>
      <c r="AT137" s="4"/>
      <c r="AU137" s="4"/>
      <c r="AV137" s="4"/>
      <c r="AW137" s="4"/>
      <c r="AX137" s="4"/>
      <c r="AY137" s="4"/>
      <c r="AZ137" s="4"/>
      <c r="BB137" s="2"/>
      <c r="BC137" s="2"/>
    </row>
    <row r="138" spans="1:55">
      <c r="A138" s="4"/>
      <c r="B138" s="4"/>
      <c r="C138" s="4"/>
      <c r="D138" s="4"/>
      <c r="E138" s="4"/>
      <c r="F138" s="4"/>
      <c r="H138" s="4"/>
      <c r="K138" s="2"/>
      <c r="AC138" s="4"/>
      <c r="AD138" s="4"/>
      <c r="AE138" s="4"/>
      <c r="AF138" s="4"/>
      <c r="AG138" s="4"/>
      <c r="AH138" s="4"/>
      <c r="AI138" s="4"/>
      <c r="AJ138" s="4"/>
      <c r="AK138" s="4"/>
      <c r="AL138" s="4"/>
      <c r="AN138" s="2"/>
      <c r="AO138" s="2"/>
      <c r="AQ138" s="4"/>
      <c r="AR138" s="4"/>
      <c r="AS138" s="4"/>
      <c r="AT138" s="4"/>
      <c r="AU138" s="4"/>
      <c r="AV138" s="4"/>
      <c r="AW138" s="4"/>
      <c r="AX138" s="4"/>
      <c r="AY138" s="4"/>
      <c r="AZ138" s="4"/>
    </row>
    <row r="139" spans="1:55">
      <c r="A139" s="4"/>
      <c r="B139" s="4"/>
      <c r="C139" s="4"/>
      <c r="D139" s="4"/>
      <c r="E139" s="4"/>
      <c r="F139" s="4"/>
      <c r="H139" s="4"/>
      <c r="K139" s="2"/>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row>
    <row r="140" spans="1:55">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row>
    <row r="141" spans="1:55">
      <c r="B141" s="7"/>
      <c r="C141" s="7"/>
      <c r="D141" s="7"/>
      <c r="E141" s="7"/>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row>
    <row r="142" spans="1:55">
      <c r="B142" s="7"/>
      <c r="C142" s="7"/>
      <c r="D142" s="7"/>
      <c r="E142" s="7"/>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row>
    <row r="143" spans="1:55">
      <c r="AB143" s="6"/>
      <c r="AC143" s="6"/>
      <c r="AD143" s="8"/>
      <c r="AE143" s="8"/>
      <c r="AF143" s="6"/>
      <c r="AG143" s="6"/>
      <c r="AH143" s="6"/>
      <c r="AI143" s="6"/>
      <c r="AJ143" s="8"/>
      <c r="AK143" s="6"/>
      <c r="AL143" s="6"/>
      <c r="AM143" s="6"/>
      <c r="AN143" s="6"/>
      <c r="AO143" s="6"/>
      <c r="AP143" s="6"/>
      <c r="AQ143" s="6"/>
      <c r="AR143" s="8"/>
      <c r="AS143" s="8"/>
      <c r="AT143" s="6"/>
      <c r="AU143" s="6"/>
      <c r="AV143" s="6"/>
      <c r="AW143" s="6"/>
      <c r="AX143" s="8"/>
      <c r="AY143" s="6"/>
      <c r="AZ143" s="6"/>
      <c r="BA143" s="6"/>
      <c r="BB143" s="6"/>
      <c r="BC143" s="6"/>
    </row>
    <row r="144" spans="1:55">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row>
    <row r="148" spans="2:43">
      <c r="B148" s="9"/>
      <c r="C148" s="9"/>
      <c r="D148" s="9"/>
      <c r="E148" s="9"/>
      <c r="F148" s="9"/>
      <c r="G148" s="9"/>
      <c r="H148" s="9"/>
      <c r="I148" s="9"/>
      <c r="J148" s="9"/>
      <c r="K148" s="9"/>
      <c r="O148" s="9"/>
      <c r="P148" s="9"/>
      <c r="Q148" s="9"/>
      <c r="R148" s="9"/>
      <c r="S148" s="9"/>
      <c r="T148" s="9"/>
      <c r="U148" s="9"/>
      <c r="V148" s="9"/>
      <c r="W148" s="9"/>
      <c r="X148" s="9"/>
    </row>
    <row r="149" spans="2:43">
      <c r="B149" s="9"/>
      <c r="C149" s="9"/>
      <c r="D149" s="9"/>
      <c r="E149" s="9"/>
      <c r="F149" s="9"/>
      <c r="G149" s="9"/>
      <c r="H149" s="9"/>
      <c r="I149" s="9"/>
      <c r="J149" s="9"/>
      <c r="K149" s="9"/>
      <c r="O149" s="9"/>
      <c r="P149" s="9"/>
      <c r="Q149" s="9"/>
      <c r="R149" s="9"/>
      <c r="S149" s="9"/>
      <c r="T149" s="9"/>
      <c r="U149" s="9"/>
      <c r="V149" s="9"/>
      <c r="W149" s="9"/>
      <c r="X149" s="9"/>
    </row>
    <row r="150" spans="2:43">
      <c r="B150" s="9"/>
      <c r="C150" s="9"/>
      <c r="D150" s="9"/>
      <c r="E150" s="9"/>
      <c r="F150" s="9"/>
      <c r="G150" s="9"/>
      <c r="H150" s="9"/>
      <c r="I150" s="9"/>
      <c r="J150" s="9"/>
      <c r="K150" s="9"/>
      <c r="O150" s="9"/>
      <c r="P150" s="9"/>
      <c r="Q150" s="9"/>
      <c r="R150" s="9"/>
      <c r="S150" s="9"/>
      <c r="T150" s="9"/>
      <c r="U150" s="9"/>
      <c r="V150" s="9"/>
      <c r="W150" s="9"/>
      <c r="X150" s="9"/>
    </row>
    <row r="151" spans="2:43">
      <c r="B151" s="9"/>
      <c r="C151" s="9"/>
      <c r="D151" s="9"/>
      <c r="E151" s="9"/>
      <c r="F151" s="9"/>
      <c r="G151" s="9"/>
      <c r="H151" s="9"/>
      <c r="I151" s="9"/>
      <c r="J151" s="9"/>
      <c r="K151" s="9"/>
      <c r="O151" s="9"/>
      <c r="P151" s="9"/>
      <c r="Q151" s="9"/>
      <c r="R151" s="9"/>
      <c r="S151" s="9"/>
      <c r="T151" s="9"/>
      <c r="U151" s="9"/>
      <c r="V151" s="9"/>
      <c r="W151" s="9"/>
      <c r="X151" s="9"/>
    </row>
    <row r="152" spans="2:43">
      <c r="B152" s="9"/>
      <c r="C152" s="9"/>
      <c r="D152" s="9"/>
      <c r="E152" s="9"/>
      <c r="F152" s="9"/>
      <c r="G152" s="9"/>
      <c r="H152" s="9"/>
      <c r="I152" s="9"/>
      <c r="J152" s="9"/>
      <c r="K152" s="9"/>
      <c r="O152" s="9"/>
      <c r="P152" s="9"/>
      <c r="Q152" s="9"/>
      <c r="R152" s="9"/>
      <c r="S152" s="9"/>
      <c r="T152" s="9"/>
      <c r="U152" s="9"/>
      <c r="V152" s="9"/>
      <c r="W152" s="9"/>
      <c r="X152" s="9"/>
    </row>
    <row r="153" spans="2:43">
      <c r="B153" s="9"/>
      <c r="C153" s="9"/>
      <c r="D153" s="9"/>
      <c r="E153" s="9"/>
      <c r="F153" s="9"/>
      <c r="G153" s="9"/>
      <c r="H153" s="9"/>
      <c r="I153" s="9"/>
      <c r="J153" s="9"/>
      <c r="K153" s="9"/>
      <c r="O153" s="9"/>
      <c r="P153" s="9"/>
      <c r="Q153" s="9"/>
      <c r="R153" s="9"/>
      <c r="S153" s="9"/>
      <c r="T153" s="9"/>
      <c r="U153" s="9"/>
      <c r="V153" s="9"/>
      <c r="W153" s="9"/>
      <c r="X153" s="9"/>
    </row>
    <row r="154" spans="2:43">
      <c r="B154" s="9"/>
      <c r="C154" s="9"/>
      <c r="D154" s="9"/>
      <c r="E154" s="9"/>
      <c r="F154" s="9"/>
      <c r="G154" s="9"/>
      <c r="H154" s="9"/>
      <c r="I154" s="9"/>
      <c r="J154" s="9"/>
      <c r="K154" s="9"/>
      <c r="O154" s="9"/>
      <c r="P154" s="9"/>
      <c r="Q154" s="9"/>
      <c r="R154" s="9"/>
      <c r="S154" s="9"/>
      <c r="T154" s="9"/>
      <c r="U154" s="9"/>
      <c r="V154" s="9"/>
      <c r="W154" s="9"/>
      <c r="X154" s="9"/>
    </row>
    <row r="155" spans="2:43">
      <c r="B155" s="9"/>
      <c r="C155" s="9"/>
      <c r="D155" s="9"/>
      <c r="E155" s="9"/>
      <c r="F155" s="9"/>
      <c r="G155" s="9"/>
      <c r="H155" s="9"/>
      <c r="I155" s="9"/>
      <c r="J155" s="9"/>
      <c r="K155" s="9"/>
      <c r="O155" s="9"/>
      <c r="P155" s="9"/>
      <c r="Q155" s="9"/>
      <c r="R155" s="9"/>
      <c r="S155" s="9"/>
      <c r="T155" s="9"/>
      <c r="U155" s="9"/>
      <c r="V155" s="9"/>
      <c r="W155" s="9"/>
      <c r="X155" s="9"/>
    </row>
    <row r="156" spans="2:43">
      <c r="B156" s="9"/>
      <c r="C156" s="9"/>
      <c r="D156" s="9"/>
      <c r="E156" s="9"/>
      <c r="F156" s="9"/>
      <c r="G156" s="9"/>
      <c r="H156" s="9"/>
      <c r="I156" s="9"/>
      <c r="J156" s="9"/>
      <c r="K156" s="9"/>
      <c r="O156" s="9"/>
      <c r="P156" s="9"/>
      <c r="Q156" s="9"/>
      <c r="R156" s="9"/>
      <c r="S156" s="9"/>
      <c r="T156" s="9"/>
      <c r="U156" s="9"/>
      <c r="V156" s="9"/>
      <c r="W156" s="9"/>
      <c r="X156" s="9"/>
    </row>
    <row r="157" spans="2:43">
      <c r="B157" s="9"/>
      <c r="C157" s="9"/>
      <c r="D157" s="9"/>
      <c r="E157" s="9"/>
      <c r="F157" s="9"/>
      <c r="G157" s="9"/>
      <c r="H157" s="9"/>
      <c r="I157" s="9"/>
      <c r="J157" s="9"/>
      <c r="K157" s="9"/>
      <c r="O157" s="9"/>
      <c r="P157" s="9"/>
      <c r="Q157" s="9"/>
      <c r="R157" s="9"/>
      <c r="S157" s="9"/>
      <c r="T157" s="9"/>
      <c r="U157" s="9"/>
      <c r="V157" s="9"/>
      <c r="W157" s="9"/>
      <c r="X157" s="9"/>
    </row>
    <row r="158" spans="2:43">
      <c r="B158" s="9"/>
      <c r="C158" s="9"/>
      <c r="D158" s="9"/>
      <c r="E158" s="9"/>
      <c r="F158" s="9"/>
      <c r="G158" s="9"/>
      <c r="H158" s="9"/>
      <c r="I158" s="9"/>
      <c r="J158" s="9"/>
      <c r="K158" s="9"/>
      <c r="AC158" s="11"/>
      <c r="AQ158" s="11"/>
    </row>
    <row r="159" spans="2:43">
      <c r="B159" s="9"/>
      <c r="C159" s="9"/>
      <c r="D159" s="9"/>
      <c r="E159" s="9"/>
      <c r="F159" s="9"/>
      <c r="G159" s="9"/>
      <c r="H159" s="9"/>
      <c r="I159" s="9"/>
      <c r="J159" s="9"/>
      <c r="K159" s="9"/>
    </row>
    <row r="164" spans="2:43">
      <c r="B164" s="12"/>
      <c r="C164" s="12"/>
      <c r="D164" s="12"/>
      <c r="E164" s="12"/>
      <c r="F164" s="12"/>
      <c r="G164" s="12"/>
      <c r="H164" s="12"/>
      <c r="I164" s="12"/>
      <c r="J164" s="12"/>
      <c r="K164" s="9"/>
      <c r="O164" s="12"/>
      <c r="P164" s="12"/>
      <c r="Q164" s="12"/>
      <c r="R164" s="12"/>
      <c r="S164" s="12"/>
      <c r="T164" s="12"/>
      <c r="U164" s="12"/>
      <c r="V164" s="12"/>
      <c r="W164" s="12"/>
    </row>
    <row r="165" spans="2:43">
      <c r="B165" s="12"/>
      <c r="C165" s="12"/>
      <c r="D165" s="12"/>
      <c r="E165" s="12"/>
      <c r="F165" s="12"/>
      <c r="G165" s="12"/>
      <c r="H165" s="12"/>
      <c r="I165" s="12"/>
      <c r="J165" s="9"/>
      <c r="K165" s="9"/>
      <c r="O165" s="12"/>
      <c r="P165" s="12"/>
      <c r="Q165" s="12"/>
      <c r="R165" s="12"/>
      <c r="S165" s="12"/>
      <c r="T165" s="12"/>
      <c r="U165" s="12"/>
      <c r="V165" s="12"/>
      <c r="W165" s="9"/>
    </row>
    <row r="166" spans="2:43">
      <c r="B166" s="12"/>
      <c r="C166" s="12"/>
      <c r="D166" s="12"/>
      <c r="E166" s="12"/>
      <c r="F166" s="12"/>
      <c r="G166" s="12"/>
      <c r="H166" s="12"/>
      <c r="I166" s="9"/>
      <c r="K166" s="9"/>
      <c r="O166" s="12"/>
      <c r="P166" s="12"/>
      <c r="Q166" s="12"/>
      <c r="R166" s="12"/>
      <c r="S166" s="12"/>
      <c r="T166" s="12"/>
      <c r="U166" s="12"/>
      <c r="V166" s="9"/>
    </row>
    <row r="167" spans="2:43">
      <c r="B167" s="12"/>
      <c r="C167" s="12"/>
      <c r="D167" s="12"/>
      <c r="E167" s="12"/>
      <c r="F167" s="12"/>
      <c r="G167" s="12"/>
      <c r="H167" s="9"/>
      <c r="J167" s="9"/>
      <c r="K167" s="9"/>
      <c r="O167" s="12"/>
      <c r="P167" s="12"/>
      <c r="Q167" s="12"/>
      <c r="R167" s="12"/>
      <c r="S167" s="12"/>
      <c r="T167" s="12"/>
      <c r="U167" s="9"/>
      <c r="W167" s="9"/>
    </row>
    <row r="168" spans="2:43">
      <c r="B168" s="12"/>
      <c r="C168" s="12"/>
      <c r="D168" s="12"/>
      <c r="E168" s="12"/>
      <c r="F168" s="12"/>
      <c r="G168" s="9"/>
      <c r="I168" s="9"/>
      <c r="J168" s="9"/>
      <c r="K168" s="9"/>
      <c r="O168" s="12"/>
      <c r="P168" s="12"/>
      <c r="Q168" s="12"/>
      <c r="R168" s="12"/>
      <c r="S168" s="12"/>
      <c r="T168" s="9"/>
      <c r="V168" s="9"/>
      <c r="W168" s="9"/>
    </row>
    <row r="169" spans="2:43">
      <c r="B169" s="12"/>
      <c r="C169" s="12"/>
      <c r="D169" s="12"/>
      <c r="E169" s="12"/>
      <c r="F169" s="9"/>
      <c r="H169" s="9"/>
      <c r="K169" s="9"/>
      <c r="O169" s="12"/>
      <c r="P169" s="12"/>
      <c r="Q169" s="12"/>
      <c r="R169" s="12"/>
      <c r="S169" s="9"/>
      <c r="U169" s="9"/>
    </row>
    <row r="170" spans="2:43">
      <c r="B170" s="12"/>
      <c r="C170" s="12"/>
      <c r="D170" s="12"/>
      <c r="E170" s="9"/>
      <c r="G170" s="9"/>
      <c r="I170" s="11"/>
      <c r="J170" s="9"/>
      <c r="K170" s="9"/>
      <c r="O170" s="12"/>
      <c r="P170" s="12"/>
      <c r="Q170" s="12"/>
      <c r="R170" s="9"/>
      <c r="T170" s="9"/>
      <c r="V170" s="11"/>
      <c r="W170" s="9"/>
      <c r="AC170" s="11"/>
      <c r="AQ170" s="11"/>
    </row>
    <row r="171" spans="2:43">
      <c r="B171" s="12"/>
      <c r="C171" s="12"/>
      <c r="D171" s="9"/>
      <c r="F171" s="9"/>
      <c r="H171" s="9"/>
      <c r="I171" s="9"/>
      <c r="J171" s="9"/>
      <c r="K171" s="9"/>
      <c r="O171" s="12"/>
      <c r="P171" s="12"/>
      <c r="Q171" s="9"/>
      <c r="S171" s="9"/>
      <c r="U171" s="9"/>
      <c r="V171" s="9"/>
      <c r="W171" s="9"/>
    </row>
    <row r="172" spans="2:43">
      <c r="B172" s="12"/>
      <c r="C172" s="9"/>
      <c r="E172" s="9"/>
      <c r="G172" s="9"/>
      <c r="H172" s="9"/>
      <c r="I172" s="9"/>
      <c r="J172" s="9"/>
      <c r="K172" s="9"/>
      <c r="O172" s="12"/>
      <c r="P172" s="9"/>
      <c r="R172" s="9"/>
      <c r="T172" s="9"/>
      <c r="U172" s="9"/>
      <c r="V172" s="9"/>
      <c r="W172" s="9"/>
    </row>
    <row r="173" spans="2:43">
      <c r="B173" s="9"/>
      <c r="D173" s="9"/>
      <c r="F173" s="9"/>
      <c r="G173" s="9"/>
      <c r="H173" s="9"/>
      <c r="I173" s="9"/>
      <c r="J173" s="9"/>
      <c r="K173" s="9"/>
    </row>
    <row r="175" spans="2:43">
      <c r="B175" s="11"/>
      <c r="C175" s="11"/>
      <c r="D175" s="11"/>
      <c r="E175" s="11"/>
      <c r="F175" s="11"/>
      <c r="G175" s="11"/>
      <c r="H175" s="11"/>
      <c r="I175" s="11"/>
      <c r="J175" s="11"/>
    </row>
    <row r="176" spans="2:43">
      <c r="B176" s="11"/>
      <c r="C176" s="11"/>
      <c r="D176" s="11"/>
      <c r="E176" s="11"/>
      <c r="F176" s="11"/>
      <c r="G176" s="11"/>
      <c r="H176" s="11"/>
      <c r="I176" s="12"/>
      <c r="J176" s="12"/>
    </row>
    <row r="177" spans="1:43">
      <c r="B177" s="12"/>
      <c r="C177" s="12"/>
      <c r="D177" s="12"/>
      <c r="E177" s="12"/>
      <c r="F177" s="12"/>
      <c r="G177" s="12"/>
      <c r="H177" s="12"/>
      <c r="I177" s="12"/>
      <c r="J177" s="12"/>
    </row>
    <row r="179" spans="1:43">
      <c r="B179" s="11"/>
    </row>
    <row r="181" spans="1:43">
      <c r="B181" s="11"/>
      <c r="C181" s="11"/>
      <c r="D181" s="11"/>
      <c r="E181" s="11"/>
      <c r="F181" s="11"/>
      <c r="G181" s="11"/>
      <c r="H181" s="11"/>
      <c r="I181" s="11"/>
      <c r="J181" s="11"/>
    </row>
    <row r="182" spans="1:43">
      <c r="AC182" s="11"/>
      <c r="AQ182" s="11"/>
    </row>
    <row r="184" spans="1:43" ht="15.75">
      <c r="A184" s="3"/>
      <c r="B184" s="3"/>
      <c r="C184" s="3"/>
      <c r="D184" s="3"/>
      <c r="E184" s="3"/>
      <c r="F184" s="3"/>
      <c r="G184" s="3"/>
      <c r="H184" s="3"/>
      <c r="K184" s="2"/>
    </row>
    <row r="185" spans="1:43">
      <c r="A185" s="4"/>
      <c r="B185" s="5"/>
      <c r="C185" s="5"/>
      <c r="D185" s="5"/>
      <c r="E185" s="5"/>
      <c r="F185" s="5"/>
      <c r="G185" s="5"/>
      <c r="H185" s="5"/>
      <c r="K185" s="2"/>
    </row>
    <row r="186" spans="1:43">
      <c r="A186" s="4"/>
      <c r="B186" s="4"/>
      <c r="C186" s="4"/>
      <c r="D186" s="4"/>
      <c r="E186" s="4"/>
      <c r="F186" s="4"/>
      <c r="H186" s="4"/>
      <c r="K186" s="2"/>
    </row>
    <row r="187" spans="1:43">
      <c r="A187" s="4"/>
      <c r="B187" s="4"/>
      <c r="C187" s="4"/>
      <c r="D187" s="4"/>
      <c r="E187" s="4"/>
      <c r="F187" s="4"/>
      <c r="H187" s="4"/>
      <c r="K187" s="2"/>
    </row>
    <row r="188" spans="1:43">
      <c r="O188" s="9"/>
      <c r="P188" s="9"/>
      <c r="Q188" s="9"/>
      <c r="R188" s="9"/>
      <c r="S188" s="9"/>
      <c r="T188" s="9"/>
      <c r="U188" s="9"/>
      <c r="V188" s="9"/>
      <c r="W188" s="9"/>
      <c r="X188" s="9"/>
    </row>
    <row r="189" spans="1:43">
      <c r="B189" s="7"/>
      <c r="C189" s="7"/>
      <c r="D189" s="7"/>
      <c r="O189" s="9"/>
      <c r="P189" s="9"/>
      <c r="Q189" s="9"/>
      <c r="R189" s="9"/>
      <c r="S189" s="9"/>
      <c r="T189" s="9"/>
      <c r="U189" s="9"/>
      <c r="V189" s="9"/>
      <c r="W189" s="9"/>
      <c r="X189" s="9"/>
    </row>
    <row r="190" spans="1:43">
      <c r="B190" s="7"/>
      <c r="C190" s="7"/>
      <c r="D190" s="7"/>
      <c r="O190" s="9"/>
      <c r="P190" s="9"/>
      <c r="Q190" s="9"/>
      <c r="R190" s="9"/>
      <c r="S190" s="9"/>
      <c r="T190" s="9"/>
      <c r="U190" s="9"/>
      <c r="V190" s="9"/>
      <c r="W190" s="9"/>
      <c r="X190" s="9"/>
    </row>
    <row r="191" spans="1:43">
      <c r="O191" s="9"/>
      <c r="P191" s="9"/>
      <c r="Q191" s="9"/>
      <c r="R191" s="9"/>
      <c r="S191" s="9"/>
      <c r="T191" s="9"/>
      <c r="U191" s="9"/>
      <c r="V191" s="9"/>
      <c r="W191" s="9"/>
      <c r="X191" s="9"/>
    </row>
    <row r="192" spans="1:43">
      <c r="O192" s="9"/>
      <c r="P192" s="9"/>
      <c r="Q192" s="9"/>
      <c r="R192" s="9"/>
      <c r="S192" s="9"/>
      <c r="T192" s="9"/>
      <c r="U192" s="9"/>
      <c r="V192" s="9"/>
      <c r="W192" s="9"/>
      <c r="X192" s="9"/>
    </row>
    <row r="193" spans="2:43">
      <c r="O193" s="9"/>
      <c r="P193" s="9"/>
      <c r="Q193" s="9"/>
      <c r="R193" s="9"/>
      <c r="S193" s="9"/>
      <c r="T193" s="9"/>
      <c r="U193" s="9"/>
      <c r="V193" s="9"/>
      <c r="W193" s="9"/>
      <c r="X193" s="9"/>
    </row>
    <row r="194" spans="2:43">
      <c r="O194" s="9"/>
      <c r="P194" s="9"/>
      <c r="Q194" s="9"/>
      <c r="R194" s="9"/>
      <c r="S194" s="9"/>
      <c r="T194" s="9"/>
      <c r="U194" s="9"/>
      <c r="V194" s="9"/>
      <c r="W194" s="9"/>
      <c r="X194" s="9"/>
      <c r="AC194" s="11"/>
      <c r="AQ194" s="11"/>
    </row>
    <row r="195" spans="2:43">
      <c r="O195" s="9"/>
      <c r="P195" s="9"/>
      <c r="Q195" s="9"/>
      <c r="R195" s="9"/>
      <c r="S195" s="9"/>
      <c r="T195" s="9"/>
      <c r="U195" s="9"/>
      <c r="V195" s="9"/>
      <c r="W195" s="9"/>
      <c r="X195" s="9"/>
    </row>
    <row r="196" spans="2:43">
      <c r="B196" s="9"/>
      <c r="C196" s="9"/>
      <c r="D196" s="9"/>
      <c r="E196" s="9"/>
      <c r="F196" s="9"/>
      <c r="G196" s="9"/>
      <c r="H196" s="9"/>
      <c r="I196" s="9"/>
      <c r="J196" s="9"/>
      <c r="K196" s="9"/>
      <c r="O196" s="9"/>
      <c r="P196" s="9"/>
      <c r="Q196" s="9"/>
      <c r="R196" s="9"/>
      <c r="S196" s="9"/>
      <c r="T196" s="9"/>
      <c r="U196" s="9"/>
      <c r="V196" s="9"/>
      <c r="W196" s="9"/>
      <c r="X196" s="9"/>
    </row>
    <row r="197" spans="2:43">
      <c r="B197" s="9"/>
      <c r="C197" s="9"/>
      <c r="D197" s="9"/>
      <c r="E197" s="9"/>
      <c r="F197" s="9"/>
      <c r="G197" s="9"/>
      <c r="H197" s="9"/>
      <c r="I197" s="9"/>
      <c r="J197" s="9"/>
      <c r="K197" s="9"/>
      <c r="O197" s="9"/>
      <c r="P197" s="9"/>
      <c r="Q197" s="9"/>
      <c r="R197" s="9"/>
      <c r="S197" s="9"/>
      <c r="T197" s="9"/>
      <c r="U197" s="9"/>
      <c r="V197" s="9"/>
      <c r="W197" s="9"/>
      <c r="X197" s="9"/>
    </row>
    <row r="198" spans="2:43">
      <c r="B198" s="9"/>
      <c r="C198" s="9"/>
      <c r="D198" s="9"/>
      <c r="E198" s="9"/>
      <c r="F198" s="9"/>
      <c r="G198" s="9"/>
      <c r="H198" s="9"/>
      <c r="I198" s="9"/>
      <c r="J198" s="9"/>
      <c r="K198" s="9"/>
    </row>
    <row r="199" spans="2:43">
      <c r="B199" s="9"/>
      <c r="C199" s="9"/>
      <c r="D199" s="9"/>
      <c r="E199" s="9"/>
      <c r="F199" s="9"/>
      <c r="G199" s="9"/>
      <c r="H199" s="9"/>
      <c r="I199" s="9"/>
      <c r="J199" s="9"/>
      <c r="K199" s="9"/>
    </row>
    <row r="200" spans="2:43">
      <c r="B200" s="9"/>
      <c r="C200" s="9"/>
      <c r="D200" s="9"/>
      <c r="E200" s="9"/>
      <c r="F200" s="9"/>
      <c r="G200" s="9"/>
      <c r="H200" s="9"/>
      <c r="I200" s="9"/>
      <c r="J200" s="9"/>
      <c r="K200" s="9"/>
    </row>
    <row r="201" spans="2:43">
      <c r="B201" s="9"/>
      <c r="C201" s="9"/>
      <c r="D201" s="9"/>
      <c r="E201" s="9"/>
      <c r="F201" s="9"/>
      <c r="G201" s="9"/>
      <c r="H201" s="9"/>
      <c r="I201" s="9"/>
      <c r="J201" s="9"/>
      <c r="K201" s="9"/>
    </row>
    <row r="202" spans="2:43">
      <c r="B202" s="9"/>
      <c r="C202" s="9"/>
      <c r="D202" s="9"/>
      <c r="E202" s="9"/>
      <c r="F202" s="9"/>
      <c r="G202" s="9"/>
      <c r="H202" s="9"/>
      <c r="I202" s="9"/>
      <c r="J202" s="9"/>
      <c r="K202" s="9"/>
    </row>
    <row r="203" spans="2:43">
      <c r="B203" s="9"/>
      <c r="C203" s="9"/>
      <c r="D203" s="9"/>
      <c r="E203" s="9"/>
      <c r="F203" s="9"/>
      <c r="G203" s="9"/>
      <c r="H203" s="9"/>
      <c r="I203" s="9"/>
      <c r="J203" s="9"/>
      <c r="K203" s="9"/>
    </row>
    <row r="204" spans="2:43">
      <c r="B204" s="9"/>
      <c r="C204" s="9"/>
      <c r="D204" s="9"/>
      <c r="E204" s="9"/>
      <c r="F204" s="9"/>
      <c r="G204" s="9"/>
      <c r="H204" s="9"/>
      <c r="I204" s="9"/>
      <c r="J204" s="9"/>
      <c r="K204" s="9"/>
    </row>
    <row r="205" spans="2:43">
      <c r="B205" s="9"/>
      <c r="C205" s="9"/>
      <c r="D205" s="9"/>
      <c r="E205" s="9"/>
      <c r="F205" s="9"/>
      <c r="G205" s="9"/>
      <c r="H205" s="9"/>
      <c r="I205" s="9"/>
      <c r="J205" s="9"/>
      <c r="K205" s="9"/>
    </row>
    <row r="206" spans="2:43">
      <c r="B206" s="9"/>
      <c r="C206" s="9"/>
      <c r="D206" s="9"/>
      <c r="E206" s="9"/>
      <c r="F206" s="9"/>
      <c r="G206" s="9"/>
      <c r="H206" s="9"/>
      <c r="I206" s="9"/>
      <c r="J206" s="9"/>
      <c r="K206" s="9"/>
      <c r="AC206" s="11"/>
      <c r="AQ206" s="11"/>
    </row>
    <row r="207" spans="2:43">
      <c r="B207" s="9"/>
      <c r="C207" s="9"/>
      <c r="D207" s="9"/>
      <c r="E207" s="9"/>
      <c r="F207" s="9"/>
      <c r="G207" s="9"/>
      <c r="H207" s="9"/>
      <c r="I207" s="9"/>
      <c r="J207" s="9"/>
      <c r="K207" s="9"/>
    </row>
    <row r="212" spans="2:43">
      <c r="B212" s="12"/>
      <c r="C212" s="12"/>
      <c r="D212" s="12"/>
      <c r="E212" s="12"/>
      <c r="F212" s="12"/>
      <c r="G212" s="12"/>
      <c r="H212" s="12"/>
      <c r="I212" s="12"/>
      <c r="J212" s="12"/>
      <c r="K212" s="9"/>
    </row>
    <row r="213" spans="2:43">
      <c r="B213" s="12"/>
      <c r="C213" s="12"/>
      <c r="D213" s="12"/>
      <c r="E213" s="12"/>
      <c r="F213" s="12"/>
      <c r="G213" s="12"/>
      <c r="H213" s="12"/>
      <c r="I213" s="12"/>
      <c r="J213" s="9"/>
      <c r="K213" s="9"/>
    </row>
    <row r="214" spans="2:43">
      <c r="B214" s="12"/>
      <c r="C214" s="12"/>
      <c r="D214" s="12"/>
      <c r="E214" s="12"/>
      <c r="F214" s="12"/>
      <c r="G214" s="12"/>
      <c r="H214" s="12"/>
      <c r="I214" s="9"/>
      <c r="K214" s="9"/>
    </row>
    <row r="215" spans="2:43">
      <c r="B215" s="12"/>
      <c r="C215" s="12"/>
      <c r="D215" s="12"/>
      <c r="E215" s="12"/>
      <c r="F215" s="12"/>
      <c r="G215" s="12"/>
      <c r="H215" s="9"/>
      <c r="J215" s="9"/>
      <c r="K215" s="9"/>
    </row>
    <row r="216" spans="2:43">
      <c r="B216" s="12"/>
      <c r="C216" s="12"/>
      <c r="D216" s="12"/>
      <c r="E216" s="12"/>
      <c r="F216" s="12"/>
      <c r="G216" s="9"/>
      <c r="I216" s="9"/>
      <c r="J216" s="9"/>
      <c r="K216" s="9"/>
    </row>
    <row r="217" spans="2:43">
      <c r="B217" s="12"/>
      <c r="C217" s="12"/>
      <c r="D217" s="12"/>
      <c r="E217" s="12"/>
      <c r="F217" s="9"/>
      <c r="H217" s="9"/>
      <c r="K217" s="9"/>
    </row>
    <row r="218" spans="2:43">
      <c r="B218" s="12"/>
      <c r="C218" s="12"/>
      <c r="D218" s="12"/>
      <c r="E218" s="9"/>
      <c r="G218" s="9"/>
      <c r="I218" s="11"/>
      <c r="J218" s="9"/>
      <c r="K218" s="9"/>
      <c r="AC218" s="11"/>
      <c r="AQ218" s="11"/>
    </row>
    <row r="219" spans="2:43">
      <c r="B219" s="12"/>
      <c r="C219" s="12"/>
      <c r="D219" s="9"/>
      <c r="F219" s="9"/>
      <c r="H219" s="9"/>
      <c r="I219" s="9"/>
      <c r="J219" s="9"/>
      <c r="K219" s="9"/>
    </row>
    <row r="220" spans="2:43">
      <c r="B220" s="12"/>
      <c r="C220" s="9"/>
      <c r="E220" s="9"/>
      <c r="G220" s="9"/>
      <c r="H220" s="9"/>
      <c r="I220" s="9"/>
      <c r="J220" s="9"/>
      <c r="K220" s="9"/>
    </row>
    <row r="221" spans="2:43">
      <c r="B221" s="9"/>
      <c r="D221" s="9"/>
      <c r="F221" s="9"/>
      <c r="G221" s="9"/>
      <c r="H221" s="9"/>
      <c r="I221" s="9"/>
      <c r="J221" s="9"/>
      <c r="K221" s="9"/>
    </row>
    <row r="223" spans="2:43">
      <c r="B223" s="11"/>
      <c r="C223" s="11"/>
      <c r="D223" s="11"/>
      <c r="E223" s="11"/>
      <c r="F223" s="11"/>
      <c r="G223" s="11"/>
      <c r="H223" s="11"/>
      <c r="I223" s="11"/>
      <c r="J223" s="11"/>
    </row>
    <row r="224" spans="2:43">
      <c r="B224" s="11"/>
      <c r="C224" s="11"/>
      <c r="D224" s="11"/>
      <c r="E224" s="11"/>
      <c r="F224" s="11"/>
      <c r="G224" s="11"/>
      <c r="H224" s="11"/>
      <c r="I224" s="12"/>
      <c r="J224" s="12"/>
    </row>
    <row r="225" spans="1:43">
      <c r="B225" s="12"/>
      <c r="C225" s="12"/>
      <c r="D225" s="12"/>
      <c r="E225" s="12"/>
      <c r="F225" s="12"/>
      <c r="G225" s="12"/>
      <c r="H225" s="12"/>
      <c r="I225" s="12"/>
      <c r="J225" s="12"/>
    </row>
    <row r="227" spans="1:43">
      <c r="B227" s="11"/>
    </row>
    <row r="229" spans="1:43">
      <c r="B229" s="11"/>
      <c r="C229" s="11"/>
      <c r="D229" s="11"/>
      <c r="E229" s="11"/>
      <c r="F229" s="11"/>
      <c r="G229" s="11"/>
      <c r="H229" s="11"/>
      <c r="I229" s="11"/>
      <c r="J229" s="11"/>
    </row>
    <row r="230" spans="1:43">
      <c r="AC230" s="11"/>
      <c r="AQ230" s="11"/>
    </row>
    <row r="231" spans="1:43">
      <c r="B231" s="11"/>
      <c r="C231" s="11"/>
      <c r="D231" s="11"/>
      <c r="E231" s="11"/>
      <c r="F231" s="11"/>
      <c r="G231" s="11"/>
      <c r="H231" s="11"/>
      <c r="I231" s="11"/>
      <c r="J231" s="11"/>
      <c r="K231" s="11"/>
    </row>
    <row r="232" spans="1:43">
      <c r="A232" s="13"/>
      <c r="B232" s="10"/>
      <c r="C232" s="10"/>
      <c r="D232" s="10"/>
      <c r="E232" s="10"/>
      <c r="F232" s="10"/>
      <c r="G232" s="10"/>
      <c r="H232" s="10"/>
      <c r="I232" s="10"/>
      <c r="J232" s="10"/>
      <c r="K232" s="10"/>
    </row>
    <row r="233" spans="1:43">
      <c r="A233" s="13"/>
      <c r="B233" s="10"/>
      <c r="C233" s="10"/>
      <c r="D233" s="10"/>
      <c r="E233" s="10"/>
      <c r="F233" s="10"/>
      <c r="G233" s="10"/>
      <c r="H233" s="10"/>
      <c r="I233" s="10"/>
      <c r="J233" s="10"/>
      <c r="K233" s="10"/>
    </row>
    <row r="234" spans="1:43">
      <c r="A234" s="13"/>
      <c r="B234" s="10"/>
      <c r="C234" s="10"/>
      <c r="D234" s="10"/>
      <c r="E234" s="10"/>
      <c r="F234" s="10"/>
      <c r="G234" s="10"/>
      <c r="H234" s="10"/>
      <c r="I234" s="10"/>
      <c r="J234" s="10"/>
      <c r="K234" s="10"/>
    </row>
    <row r="235" spans="1:43">
      <c r="A235" s="13"/>
      <c r="B235" s="10"/>
      <c r="C235" s="10"/>
      <c r="D235" s="10"/>
      <c r="E235" s="10"/>
      <c r="F235" s="10"/>
      <c r="G235" s="10"/>
      <c r="H235" s="10"/>
      <c r="I235" s="10"/>
      <c r="J235" s="10"/>
      <c r="K235" s="10"/>
    </row>
    <row r="236" spans="1:43">
      <c r="B236" s="14"/>
      <c r="C236" s="14"/>
      <c r="D236" s="14"/>
      <c r="E236" s="14"/>
      <c r="F236" s="14"/>
      <c r="G236" s="14"/>
      <c r="H236" s="14"/>
      <c r="I236" s="14"/>
      <c r="J236" s="14"/>
      <c r="K236" s="14"/>
    </row>
    <row r="242" spans="29:43">
      <c r="AC242" s="11"/>
      <c r="AQ242" s="11"/>
    </row>
    <row r="254" spans="29:43">
      <c r="AC254" s="11"/>
      <c r="AQ254" s="11"/>
    </row>
    <row r="258" spans="32:46">
      <c r="AF258" s="13"/>
      <c r="AT258" s="13"/>
    </row>
  </sheetData>
  <phoneticPr fontId="0" type="noConversion"/>
  <pageMargins left="0.75" right="0.75" top="1" bottom="1" header="0.5" footer="0.5"/>
  <pageSetup scale="79" fitToWidth="6" orientation="landscape" r:id="rId1"/>
  <headerFooter alignWithMargins="0"/>
  <colBreaks count="6" manualBreakCount="6">
    <brk id="13" max="13" man="1"/>
    <brk id="26" max="13" man="1"/>
    <brk id="38" max="13" man="1"/>
    <brk id="55" max="13" man="1"/>
    <brk id="68" max="13" man="1"/>
    <brk id="81" max="13" man="1"/>
  </colBreaks>
</worksheet>
</file>

<file path=xl/worksheets/sheet3.xml><?xml version="1.0" encoding="utf-8"?>
<worksheet xmlns="http://schemas.openxmlformats.org/spreadsheetml/2006/main" xmlns:r="http://schemas.openxmlformats.org/officeDocument/2006/relationships">
  <sheetPr>
    <pageSetUpPr fitToPage="1"/>
  </sheetPr>
  <dimension ref="A1:K105"/>
  <sheetViews>
    <sheetView workbookViewId="0">
      <selection activeCell="B50" sqref="B50"/>
    </sheetView>
  </sheetViews>
  <sheetFormatPr defaultRowHeight="12.75"/>
  <cols>
    <col min="1" max="1" width="22.28515625" customWidth="1"/>
    <col min="2" max="2" width="9.85546875" customWidth="1"/>
    <col min="3" max="3" width="11.42578125" customWidth="1"/>
    <col min="4" max="4" width="13.28515625" customWidth="1"/>
    <col min="5" max="5" width="13.85546875" customWidth="1"/>
    <col min="6" max="6" width="13.7109375" customWidth="1"/>
    <col min="7" max="7" width="14" customWidth="1"/>
    <col min="8" max="8" width="12.42578125" customWidth="1"/>
    <col min="9" max="9" width="11.85546875" customWidth="1"/>
    <col min="10" max="10" width="12.140625" customWidth="1"/>
    <col min="11" max="11" width="10.85546875" customWidth="1"/>
  </cols>
  <sheetData>
    <row r="1" spans="1:11">
      <c r="K1" s="2" t="str">
        <f>+Input!$B$1</f>
        <v>Development of NAIC Data</v>
      </c>
    </row>
    <row r="2" spans="1:11" ht="15.75">
      <c r="A2" s="3" t="str">
        <f>CONCATENATE(Input!A1," ",Input!A2)</f>
        <v>Selected Small Company Number 2 CMP</v>
      </c>
      <c r="B2" s="3"/>
      <c r="C2" s="3"/>
      <c r="D2" s="3"/>
      <c r="E2" s="3"/>
      <c r="F2" s="3"/>
      <c r="G2" s="3"/>
      <c r="H2" s="3"/>
    </row>
    <row r="3" spans="1:11">
      <c r="A3" s="4"/>
      <c r="B3" s="5"/>
      <c r="C3" s="5"/>
      <c r="D3" s="5"/>
      <c r="E3" s="5"/>
      <c r="F3" s="5"/>
      <c r="G3" s="5"/>
      <c r="H3" s="5"/>
      <c r="K3" s="2" t="s">
        <v>2</v>
      </c>
    </row>
    <row r="4" spans="1:11">
      <c r="A4" s="4"/>
      <c r="B4" s="4"/>
      <c r="C4" s="4"/>
      <c r="D4" s="4"/>
      <c r="E4" s="4"/>
      <c r="F4" s="4"/>
      <c r="H4" s="4"/>
      <c r="K4" s="2"/>
    </row>
    <row r="5" spans="1:11">
      <c r="A5" s="4" t="s">
        <v>1</v>
      </c>
      <c r="B5" s="4"/>
      <c r="C5" s="4"/>
      <c r="D5" s="4"/>
      <c r="E5" s="4"/>
      <c r="F5" s="4"/>
      <c r="H5" s="4"/>
    </row>
    <row r="7" spans="1:11">
      <c r="B7" s="7"/>
      <c r="C7" s="7"/>
      <c r="D7" s="7"/>
      <c r="E7" s="7"/>
    </row>
    <row r="8" spans="1:11">
      <c r="B8" s="7" t="s">
        <v>3</v>
      </c>
      <c r="C8" s="7" t="s">
        <v>4</v>
      </c>
      <c r="D8" s="7"/>
      <c r="E8" s="7"/>
    </row>
    <row r="10" spans="1:11">
      <c r="C10" t="s">
        <v>9</v>
      </c>
    </row>
    <row r="11" spans="1:11">
      <c r="A11" t="s">
        <v>19</v>
      </c>
    </row>
    <row r="12" spans="1:11">
      <c r="A12" t="s">
        <v>21</v>
      </c>
      <c r="B12">
        <v>12</v>
      </c>
      <c r="C12">
        <f t="shared" ref="C12:K12" si="0">+B12+12</f>
        <v>24</v>
      </c>
      <c r="D12">
        <f t="shared" si="0"/>
        <v>36</v>
      </c>
      <c r="E12">
        <f t="shared" si="0"/>
        <v>48</v>
      </c>
      <c r="F12">
        <f t="shared" si="0"/>
        <v>60</v>
      </c>
      <c r="G12">
        <f t="shared" si="0"/>
        <v>72</v>
      </c>
      <c r="H12">
        <f t="shared" si="0"/>
        <v>84</v>
      </c>
      <c r="I12">
        <f t="shared" si="0"/>
        <v>96</v>
      </c>
      <c r="J12">
        <f t="shared" si="0"/>
        <v>108</v>
      </c>
      <c r="K12">
        <f t="shared" si="0"/>
        <v>120</v>
      </c>
    </row>
    <row r="14" spans="1:11">
      <c r="A14">
        <f>+Input!B5</f>
        <v>1994</v>
      </c>
      <c r="B14" s="9">
        <f>+Input!P5</f>
        <v>2978</v>
      </c>
      <c r="C14" s="9">
        <f>+Input!Q5</f>
        <v>4031</v>
      </c>
      <c r="D14" s="9">
        <f>+Input!R5</f>
        <v>4623</v>
      </c>
      <c r="E14" s="9">
        <f>+Input!S5</f>
        <v>5368</v>
      </c>
      <c r="F14" s="9">
        <f>+Input!T5</f>
        <v>5842</v>
      </c>
      <c r="G14" s="9">
        <f>+Input!U5</f>
        <v>6019</v>
      </c>
      <c r="H14" s="9">
        <f>+Input!V5</f>
        <v>6191</v>
      </c>
      <c r="I14" s="9">
        <f>+Input!W5</f>
        <v>6348</v>
      </c>
      <c r="J14" s="9">
        <f>+Input!X5</f>
        <v>6389</v>
      </c>
      <c r="K14" s="9">
        <f>+Input!Y5</f>
        <v>6424</v>
      </c>
    </row>
    <row r="15" spans="1:11">
      <c r="A15">
        <f t="shared" ref="A15:A23" si="1">+A14+1</f>
        <v>1995</v>
      </c>
      <c r="B15" s="9">
        <f>+Input!Q6</f>
        <v>2776</v>
      </c>
      <c r="C15" s="9">
        <f>+Input!R6</f>
        <v>3843</v>
      </c>
      <c r="D15" s="9">
        <f>+Input!S6</f>
        <v>4512</v>
      </c>
      <c r="E15" s="9">
        <f>+Input!T6</f>
        <v>5063</v>
      </c>
      <c r="F15" s="9">
        <f>+Input!U6</f>
        <v>5548</v>
      </c>
      <c r="G15" s="9">
        <f>+Input!V6</f>
        <v>5849</v>
      </c>
      <c r="H15" s="9">
        <f>+Input!W6</f>
        <v>5953</v>
      </c>
      <c r="I15" s="9">
        <f>+Input!X6</f>
        <v>5997</v>
      </c>
      <c r="J15" s="9">
        <f>+Input!Y6</f>
        <v>6022</v>
      </c>
      <c r="K15" s="9"/>
    </row>
    <row r="16" spans="1:11">
      <c r="A16">
        <f t="shared" si="1"/>
        <v>1996</v>
      </c>
      <c r="B16" s="9">
        <f>+Input!R7</f>
        <v>2924</v>
      </c>
      <c r="C16" s="9">
        <f>+Input!S7</f>
        <v>4313</v>
      </c>
      <c r="D16" s="9">
        <f>+Input!T7</f>
        <v>4946</v>
      </c>
      <c r="E16" s="9">
        <f>+Input!U7</f>
        <v>5416</v>
      </c>
      <c r="F16" s="9">
        <f>+Input!V7</f>
        <v>5927</v>
      </c>
      <c r="G16" s="9">
        <f>+Input!W7</f>
        <v>6131</v>
      </c>
      <c r="H16" s="9">
        <f>+Input!X7</f>
        <v>6253</v>
      </c>
      <c r="I16" s="9">
        <f>+Input!Y7</f>
        <v>6305</v>
      </c>
      <c r="J16" s="9"/>
      <c r="K16" s="9"/>
    </row>
    <row r="17" spans="1:11">
      <c r="A17">
        <f t="shared" si="1"/>
        <v>1997</v>
      </c>
      <c r="B17" s="9">
        <f>+Input!S8</f>
        <v>2308</v>
      </c>
      <c r="C17" s="9">
        <f>+Input!T8</f>
        <v>3446</v>
      </c>
      <c r="D17" s="9">
        <f>+Input!U8</f>
        <v>4174</v>
      </c>
      <c r="E17" s="9">
        <f>+Input!V8</f>
        <v>4998</v>
      </c>
      <c r="F17" s="9">
        <f>+Input!W8</f>
        <v>5434</v>
      </c>
      <c r="G17" s="9">
        <f>+Input!X8</f>
        <v>5690</v>
      </c>
      <c r="H17" s="9">
        <f>+Input!Y8</f>
        <v>5867</v>
      </c>
      <c r="I17" s="9"/>
      <c r="J17" s="9"/>
      <c r="K17" s="9"/>
    </row>
    <row r="18" spans="1:11">
      <c r="A18">
        <f t="shared" si="1"/>
        <v>1998</v>
      </c>
      <c r="B18" s="9">
        <f>+Input!T9</f>
        <v>2763</v>
      </c>
      <c r="C18" s="9">
        <f>+Input!U9</f>
        <v>4050</v>
      </c>
      <c r="D18" s="9">
        <f>+Input!V9</f>
        <v>4719</v>
      </c>
      <c r="E18" s="9">
        <f>+Input!W9</f>
        <v>5304</v>
      </c>
      <c r="F18" s="9">
        <f>+Input!X9</f>
        <v>5861</v>
      </c>
      <c r="G18" s="9">
        <f>+Input!Y9</f>
        <v>6093</v>
      </c>
      <c r="H18" s="9"/>
      <c r="I18" s="9"/>
      <c r="J18" s="9"/>
      <c r="K18" s="9"/>
    </row>
    <row r="19" spans="1:11">
      <c r="A19">
        <f t="shared" si="1"/>
        <v>1999</v>
      </c>
      <c r="B19" s="9">
        <f>+Input!U10</f>
        <v>3450</v>
      </c>
      <c r="C19" s="9">
        <f>+Input!V10</f>
        <v>4795</v>
      </c>
      <c r="D19" s="9">
        <f>+Input!W10</f>
        <v>5706</v>
      </c>
      <c r="E19" s="9">
        <f>+Input!X10</f>
        <v>6304</v>
      </c>
      <c r="F19" s="9">
        <f>+Input!Y10</f>
        <v>6823</v>
      </c>
      <c r="G19" s="9"/>
      <c r="H19" s="9"/>
      <c r="I19" s="9"/>
      <c r="J19" s="9"/>
      <c r="K19" s="9"/>
    </row>
    <row r="20" spans="1:11">
      <c r="A20">
        <f t="shared" si="1"/>
        <v>2000</v>
      </c>
      <c r="B20" s="9">
        <f>+Input!V11</f>
        <v>3823</v>
      </c>
      <c r="C20" s="9">
        <f>+Input!W11</f>
        <v>5609</v>
      </c>
      <c r="D20" s="9">
        <f>+Input!X11</f>
        <v>6278</v>
      </c>
      <c r="E20" s="9">
        <f>+Input!Y11</f>
        <v>6891</v>
      </c>
      <c r="F20" s="9"/>
      <c r="G20" s="9"/>
      <c r="H20" s="9"/>
      <c r="I20" s="9"/>
      <c r="J20" s="9"/>
      <c r="K20" s="9"/>
    </row>
    <row r="21" spans="1:11">
      <c r="A21">
        <f t="shared" si="1"/>
        <v>2001</v>
      </c>
      <c r="B21" s="9">
        <f>+Input!W12</f>
        <v>3808</v>
      </c>
      <c r="C21" s="9">
        <f>+Input!X12</f>
        <v>5267</v>
      </c>
      <c r="D21" s="9">
        <f>+Input!Y12</f>
        <v>6140</v>
      </c>
      <c r="E21" s="9"/>
      <c r="F21" s="9"/>
      <c r="G21" s="9"/>
      <c r="H21" s="9"/>
      <c r="I21" s="9"/>
      <c r="J21" s="9"/>
      <c r="K21" s="9"/>
    </row>
    <row r="22" spans="1:11">
      <c r="A22">
        <f t="shared" si="1"/>
        <v>2002</v>
      </c>
      <c r="B22" s="9">
        <f>+Input!X13</f>
        <v>4322</v>
      </c>
      <c r="C22" s="9">
        <f>+Input!Y13</f>
        <v>6422</v>
      </c>
      <c r="D22" s="9"/>
      <c r="E22" s="9"/>
      <c r="F22" s="9"/>
      <c r="G22" s="9"/>
      <c r="H22" s="9"/>
      <c r="I22" s="9"/>
      <c r="J22" s="9"/>
      <c r="K22" s="9"/>
    </row>
    <row r="23" spans="1:11">
      <c r="A23">
        <f t="shared" si="1"/>
        <v>2003</v>
      </c>
      <c r="B23" s="9">
        <f>+Input!Y14</f>
        <v>6312</v>
      </c>
      <c r="C23" s="9"/>
      <c r="D23" s="9"/>
      <c r="E23" s="9"/>
      <c r="F23" s="9"/>
      <c r="G23" s="9"/>
      <c r="H23" s="9"/>
      <c r="I23" s="9"/>
      <c r="J23" s="9"/>
      <c r="K23" s="9"/>
    </row>
    <row r="24" spans="1:11">
      <c r="B24" s="9"/>
      <c r="C24" s="9"/>
      <c r="D24" s="9"/>
      <c r="E24" s="9"/>
      <c r="F24" s="9"/>
      <c r="G24" s="9"/>
      <c r="H24" s="9"/>
      <c r="I24" s="9"/>
      <c r="J24" s="9"/>
      <c r="K24" s="9"/>
    </row>
    <row r="25" spans="1:11">
      <c r="B25" s="9"/>
      <c r="C25" s="9" t="s">
        <v>23</v>
      </c>
      <c r="D25" s="9"/>
      <c r="E25" s="9"/>
      <c r="F25" s="9"/>
      <c r="G25" s="9"/>
      <c r="H25" s="9"/>
      <c r="I25" s="9"/>
      <c r="J25" s="9"/>
      <c r="K25" s="9"/>
    </row>
    <row r="27" spans="1:11">
      <c r="A27" t="s">
        <v>19</v>
      </c>
    </row>
    <row r="28" spans="1:11">
      <c r="A28" t="s">
        <v>21</v>
      </c>
      <c r="B28">
        <v>12</v>
      </c>
      <c r="C28">
        <f t="shared" ref="C28:J28" si="2">+B28+12</f>
        <v>24</v>
      </c>
      <c r="D28">
        <f t="shared" si="2"/>
        <v>36</v>
      </c>
      <c r="E28">
        <f t="shared" si="2"/>
        <v>48</v>
      </c>
      <c r="F28">
        <f t="shared" si="2"/>
        <v>60</v>
      </c>
      <c r="G28">
        <f t="shared" si="2"/>
        <v>72</v>
      </c>
      <c r="H28">
        <f t="shared" si="2"/>
        <v>84</v>
      </c>
      <c r="I28">
        <f t="shared" si="2"/>
        <v>96</v>
      </c>
      <c r="J28">
        <f t="shared" si="2"/>
        <v>108</v>
      </c>
    </row>
    <row r="30" spans="1:11">
      <c r="A30">
        <f>+A14</f>
        <v>1994</v>
      </c>
      <c r="B30" s="12">
        <f t="shared" ref="B30:J30" si="3">+C14/B14</f>
        <v>1.3535930154466085</v>
      </c>
      <c r="C30" s="12">
        <f t="shared" si="3"/>
        <v>1.1468618208881172</v>
      </c>
      <c r="D30" s="12">
        <f t="shared" si="3"/>
        <v>1.1611507678996322</v>
      </c>
      <c r="E30" s="12">
        <f t="shared" si="3"/>
        <v>1.0883010432190761</v>
      </c>
      <c r="F30" s="12">
        <f t="shared" si="3"/>
        <v>1.0302978432043821</v>
      </c>
      <c r="G30" s="12">
        <f t="shared" si="3"/>
        <v>1.028576175444426</v>
      </c>
      <c r="H30" s="12">
        <f t="shared" si="3"/>
        <v>1.0253593926667743</v>
      </c>
      <c r="I30" s="12">
        <f t="shared" si="3"/>
        <v>1.00645872715816</v>
      </c>
      <c r="J30" s="12">
        <f t="shared" si="3"/>
        <v>1.0054781655971201</v>
      </c>
      <c r="K30" s="9"/>
    </row>
    <row r="31" spans="1:11">
      <c r="A31">
        <f t="shared" ref="A31:A38" si="4">+A30+1</f>
        <v>1995</v>
      </c>
      <c r="B31" s="12">
        <f t="shared" ref="B31:I31" si="5">+C15/B15</f>
        <v>1.3843659942363113</v>
      </c>
      <c r="C31" s="12">
        <f t="shared" si="5"/>
        <v>1.1740827478532396</v>
      </c>
      <c r="D31" s="12">
        <f t="shared" si="5"/>
        <v>1.1221187943262412</v>
      </c>
      <c r="E31" s="12">
        <f t="shared" si="5"/>
        <v>1.0957930080979656</v>
      </c>
      <c r="F31" s="12">
        <f t="shared" si="5"/>
        <v>1.0542537851478011</v>
      </c>
      <c r="G31" s="12">
        <f t="shared" si="5"/>
        <v>1.0177808172337153</v>
      </c>
      <c r="H31" s="12">
        <f t="shared" si="5"/>
        <v>1.0073912313119435</v>
      </c>
      <c r="I31" s="12">
        <f t="shared" si="5"/>
        <v>1.0041687510421877</v>
      </c>
      <c r="J31" s="9"/>
      <c r="K31" s="9"/>
    </row>
    <row r="32" spans="1:11">
      <c r="A32">
        <f t="shared" si="4"/>
        <v>1996</v>
      </c>
      <c r="B32" s="12">
        <f t="shared" ref="B32:H32" si="6">+C16/B16</f>
        <v>1.4750341997264023</v>
      </c>
      <c r="C32" s="12">
        <f t="shared" si="6"/>
        <v>1.1467655923950846</v>
      </c>
      <c r="D32" s="12">
        <f t="shared" si="6"/>
        <v>1.0950262838657501</v>
      </c>
      <c r="E32" s="12">
        <f t="shared" si="6"/>
        <v>1.0943500738552436</v>
      </c>
      <c r="F32" s="12">
        <f t="shared" si="6"/>
        <v>1.03441876159946</v>
      </c>
      <c r="G32" s="12">
        <f t="shared" si="6"/>
        <v>1.019898874571848</v>
      </c>
      <c r="H32" s="12">
        <f t="shared" si="6"/>
        <v>1.0083160083160083</v>
      </c>
      <c r="I32" s="9"/>
      <c r="K32" s="9"/>
    </row>
    <row r="33" spans="1:11">
      <c r="A33">
        <f t="shared" si="4"/>
        <v>1997</v>
      </c>
      <c r="B33" s="12">
        <f t="shared" ref="B33:G33" si="7">+C17/B17</f>
        <v>1.4930675909878683</v>
      </c>
      <c r="C33" s="12">
        <f t="shared" si="7"/>
        <v>1.2112594312246083</v>
      </c>
      <c r="D33" s="12">
        <f t="shared" si="7"/>
        <v>1.197412553905127</v>
      </c>
      <c r="E33" s="12">
        <f t="shared" si="7"/>
        <v>1.0872348939575831</v>
      </c>
      <c r="F33" s="12">
        <f t="shared" si="7"/>
        <v>1.0471107839528893</v>
      </c>
      <c r="G33" s="12">
        <f t="shared" si="7"/>
        <v>1.0311072056239017</v>
      </c>
      <c r="H33" s="9"/>
      <c r="J33" s="9"/>
      <c r="K33" s="9"/>
    </row>
    <row r="34" spans="1:11">
      <c r="A34">
        <f t="shared" si="4"/>
        <v>1998</v>
      </c>
      <c r="B34" s="12">
        <f>+C18/B18</f>
        <v>1.4657980456026058</v>
      </c>
      <c r="C34" s="12">
        <f>+D18/C18</f>
        <v>1.1651851851851851</v>
      </c>
      <c r="D34" s="12">
        <f>+E18/D18</f>
        <v>1.1239669421487604</v>
      </c>
      <c r="E34" s="12">
        <f>+F18/E18</f>
        <v>1.1050150829562595</v>
      </c>
      <c r="F34" s="12">
        <f>+G18/F18</f>
        <v>1.0395836887903087</v>
      </c>
      <c r="G34" s="9"/>
      <c r="I34" s="9"/>
      <c r="J34" s="9"/>
      <c r="K34" s="9"/>
    </row>
    <row r="35" spans="1:11">
      <c r="A35">
        <f t="shared" si="4"/>
        <v>1999</v>
      </c>
      <c r="B35" s="12">
        <f>+C19/B19</f>
        <v>1.3898550724637682</v>
      </c>
      <c r="C35" s="12">
        <f>+D19/C19</f>
        <v>1.1899895724713243</v>
      </c>
      <c r="D35" s="12">
        <f>+E19/D19</f>
        <v>1.104801962846127</v>
      </c>
      <c r="E35" s="12">
        <f>+F19/E19</f>
        <v>1.0823286802030456</v>
      </c>
      <c r="F35" s="9"/>
      <c r="H35" s="9"/>
      <c r="K35" s="9"/>
    </row>
    <row r="36" spans="1:11">
      <c r="A36">
        <f t="shared" si="4"/>
        <v>2000</v>
      </c>
      <c r="B36" s="12">
        <f>+C20/B20</f>
        <v>1.4671723777138372</v>
      </c>
      <c r="C36" s="12">
        <f>+D20/C20</f>
        <v>1.1192725976109823</v>
      </c>
      <c r="D36" s="12">
        <f>+E20/D20</f>
        <v>1.0976425613252627</v>
      </c>
      <c r="E36" s="9"/>
      <c r="G36" s="9"/>
      <c r="I36" s="11"/>
      <c r="J36" s="9"/>
      <c r="K36" s="9"/>
    </row>
    <row r="37" spans="1:11">
      <c r="A37">
        <f t="shared" si="4"/>
        <v>2001</v>
      </c>
      <c r="B37" s="12">
        <f>+C21/B21</f>
        <v>1.3831407563025211</v>
      </c>
      <c r="C37" s="12">
        <f>+D21/C21</f>
        <v>1.1657490032276439</v>
      </c>
      <c r="D37" s="9"/>
      <c r="F37" s="9"/>
      <c r="H37" s="9"/>
      <c r="I37" s="9"/>
      <c r="J37" s="9"/>
      <c r="K37" s="9"/>
    </row>
    <row r="38" spans="1:11">
      <c r="A38">
        <f t="shared" si="4"/>
        <v>2002</v>
      </c>
      <c r="B38" s="12">
        <f>+C22/B22</f>
        <v>1.4858861638130496</v>
      </c>
      <c r="C38" s="9"/>
      <c r="E38" s="9"/>
      <c r="G38" s="9"/>
      <c r="H38" s="9"/>
      <c r="I38" s="9"/>
      <c r="J38" s="9"/>
      <c r="K38" s="9"/>
    </row>
    <row r="39" spans="1:11">
      <c r="B39" s="9"/>
      <c r="C39" t="s">
        <v>130</v>
      </c>
      <c r="D39" s="9"/>
      <c r="F39" s="9"/>
      <c r="G39" s="9"/>
      <c r="H39" s="9"/>
      <c r="I39" s="9"/>
      <c r="J39" s="9"/>
      <c r="K39" s="9"/>
    </row>
    <row r="41" spans="1:11">
      <c r="A41" t="s">
        <v>24</v>
      </c>
      <c r="B41" s="11">
        <f>+SUM(C14:C22)/SUM(B14:B22)</f>
        <v>1.4330406147091108</v>
      </c>
      <c r="C41" s="11">
        <f>+SUM(D14:D21)/SUM(C14:C21)</f>
        <v>1.1624710075239011</v>
      </c>
      <c r="D41" s="11">
        <f>+SUM(E14:E20)/SUM(D14:D20)</f>
        <v>1.1254648435265175</v>
      </c>
      <c r="E41" s="11">
        <f>+SUM(F14:F19)/SUM(E14:E19)</f>
        <v>1.0918867284996765</v>
      </c>
      <c r="F41" s="11">
        <f>+SUM(G14:G18)/SUM(F14:F18)</f>
        <v>1.0408919334544946</v>
      </c>
      <c r="G41" s="11">
        <f>+SUM(H14:H17)/SUM(G14:G17)</f>
        <v>1.0242728692642156</v>
      </c>
      <c r="H41" s="11">
        <f>+SUM(I14:I16)/SUM(H14:H16)</f>
        <v>1.0137522422134044</v>
      </c>
      <c r="I41" s="11">
        <f>+I42</f>
        <v>1.0053462940461726</v>
      </c>
      <c r="J41" s="11">
        <f>+J42</f>
        <v>1.0054781655971201</v>
      </c>
    </row>
    <row r="42" spans="1:11">
      <c r="A42" t="s">
        <v>25</v>
      </c>
      <c r="B42" s="11">
        <f>+SUM(C20:C22)/SUM(B20:B22)</f>
        <v>1.4471680749602611</v>
      </c>
      <c r="C42" s="11">
        <f>+SUM(D19:D21)/SUM(C19:C21)</f>
        <v>1.156531172228958</v>
      </c>
      <c r="D42" s="11">
        <f>+SUM(E18:E20)/SUM(D18:D20)</f>
        <v>1.1075255942046338</v>
      </c>
      <c r="E42" s="11">
        <f>+SUM(F17:F19)/SUM(E17:E19)</f>
        <v>1.0910514271949898</v>
      </c>
      <c r="F42" s="11">
        <f>+SUM(G16:G18)/SUM(F16:F18)</f>
        <v>1.0401811636279177</v>
      </c>
      <c r="G42" s="11">
        <f>+SUM(H15:H17)/SUM(G15:G17)</f>
        <v>1.0228070175438597</v>
      </c>
      <c r="H42" s="11">
        <f>+SUM(I14:I16)/SUM(H14:H16)</f>
        <v>1.0137522422134044</v>
      </c>
      <c r="I42" s="12">
        <f>+(J14+J15)/(I14+I15)</f>
        <v>1.0053462940461726</v>
      </c>
      <c r="J42" s="12">
        <f>+J30</f>
        <v>1.0054781655971201</v>
      </c>
    </row>
    <row r="43" spans="1:11">
      <c r="A43" t="s">
        <v>26</v>
      </c>
      <c r="B43" s="12">
        <f>+AVERAGE(B36:B38)</f>
        <v>1.4453997659431359</v>
      </c>
      <c r="C43" s="12">
        <f>+AVERAGE(C35:C37)</f>
        <v>1.1583370577699836</v>
      </c>
      <c r="D43" s="12">
        <f>+AVERAGE(D34:D36)</f>
        <v>1.1088038221067167</v>
      </c>
      <c r="E43" s="12">
        <f>+AVERAGE(E33:E35)</f>
        <v>1.0915262190389627</v>
      </c>
      <c r="F43" s="12">
        <f>+AVERAGE(F32:F34)</f>
        <v>1.0403710781142192</v>
      </c>
      <c r="G43" s="12">
        <f>+AVERAGE(G31:G33)</f>
        <v>1.0229289658098217</v>
      </c>
      <c r="H43" s="12">
        <f>+AVERAGE(H30:H32)</f>
        <v>1.0136888774315753</v>
      </c>
      <c r="I43" s="12">
        <f>+AVERAGE(I29:I31)</f>
        <v>1.0053137391001739</v>
      </c>
      <c r="J43" s="12">
        <f>+J30</f>
        <v>1.0054781655971201</v>
      </c>
    </row>
    <row r="44" spans="1:11">
      <c r="B44" t="s">
        <v>193</v>
      </c>
    </row>
    <row r="45" spans="1:11">
      <c r="A45" t="s">
        <v>27</v>
      </c>
      <c r="B45" s="11">
        <f>+B41</f>
        <v>1.4330406147091108</v>
      </c>
      <c r="C45" s="11">
        <f t="shared" ref="C45:J45" si="8">+C41</f>
        <v>1.1624710075239011</v>
      </c>
      <c r="D45" s="11">
        <f t="shared" si="8"/>
        <v>1.1254648435265175</v>
      </c>
      <c r="E45" s="11">
        <f t="shared" si="8"/>
        <v>1.0918867284996765</v>
      </c>
      <c r="F45" s="11">
        <f t="shared" si="8"/>
        <v>1.0408919334544946</v>
      </c>
      <c r="G45" s="11">
        <f t="shared" si="8"/>
        <v>1.0242728692642156</v>
      </c>
      <c r="H45" s="11">
        <f t="shared" si="8"/>
        <v>1.0137522422134044</v>
      </c>
      <c r="I45" s="11">
        <f t="shared" si="8"/>
        <v>1.0053462940461726</v>
      </c>
      <c r="J45" s="11">
        <f t="shared" si="8"/>
        <v>1.0054781655971201</v>
      </c>
      <c r="K45" s="12">
        <f>1+'Paid over Disposed'!D37*'Case Over Paid'!C46</f>
        <v>1.0543030434148464</v>
      </c>
    </row>
    <row r="47" spans="1:11">
      <c r="A47" t="s">
        <v>28</v>
      </c>
      <c r="B47" s="11">
        <f t="shared" ref="B47:J47" si="9">+B45*C47</f>
        <v>2.3580720781101023</v>
      </c>
      <c r="C47" s="11">
        <f t="shared" si="9"/>
        <v>1.6455026144452727</v>
      </c>
      <c r="D47" s="11">
        <f t="shared" si="9"/>
        <v>1.415521422723689</v>
      </c>
      <c r="E47" s="11">
        <f t="shared" si="9"/>
        <v>1.2577215813230662</v>
      </c>
      <c r="F47" s="11">
        <f t="shared" si="9"/>
        <v>1.1518791725321706</v>
      </c>
      <c r="G47" s="11">
        <f t="shared" si="9"/>
        <v>1.1066270527328745</v>
      </c>
      <c r="H47" s="11">
        <f t="shared" si="9"/>
        <v>1.0804025821047256</v>
      </c>
      <c r="I47" s="11">
        <f t="shared" si="9"/>
        <v>1.0657461824654497</v>
      </c>
      <c r="J47" s="11">
        <f t="shared" si="9"/>
        <v>1.0600786900762207</v>
      </c>
      <c r="K47">
        <f>+K45</f>
        <v>1.0543030434148464</v>
      </c>
    </row>
    <row r="49" spans="1:11">
      <c r="A49" t="str">
        <f>+'Inc Tria'!A57</f>
        <v>Note:</v>
      </c>
      <c r="B49" s="51" t="s">
        <v>196</v>
      </c>
    </row>
    <row r="50" spans="1:11">
      <c r="B50" s="51" t="s">
        <v>197</v>
      </c>
    </row>
    <row r="51" spans="1:11">
      <c r="B51" t="s">
        <v>133</v>
      </c>
    </row>
    <row r="53" spans="1:11">
      <c r="B53" s="10"/>
      <c r="C53" s="10"/>
      <c r="D53" s="10"/>
      <c r="E53" s="10"/>
      <c r="F53" s="10"/>
      <c r="G53" s="10"/>
      <c r="H53" s="10"/>
      <c r="I53" s="10"/>
      <c r="J53" s="10"/>
      <c r="K53" s="10"/>
    </row>
    <row r="55" spans="1:11">
      <c r="B55" s="14"/>
      <c r="C55" s="14"/>
      <c r="D55" s="14"/>
      <c r="E55" s="14"/>
      <c r="F55" s="14"/>
      <c r="G55" s="14"/>
      <c r="H55" s="14"/>
      <c r="I55" s="14"/>
      <c r="J55" s="14"/>
      <c r="K55" s="14"/>
    </row>
    <row r="57" spans="1:11">
      <c r="B57" s="10"/>
      <c r="C57" s="10"/>
      <c r="D57" s="10"/>
      <c r="E57" s="10"/>
      <c r="F57" s="10"/>
      <c r="G57" s="10"/>
      <c r="H57" s="10"/>
      <c r="I57" s="10"/>
      <c r="J57" s="10"/>
      <c r="K57" s="10"/>
    </row>
    <row r="58" spans="1:11">
      <c r="B58" s="11"/>
      <c r="C58" s="11"/>
      <c r="D58" s="11"/>
      <c r="E58" s="11"/>
      <c r="F58" s="11"/>
      <c r="G58" s="11"/>
      <c r="H58" s="11"/>
      <c r="I58" s="11"/>
      <c r="J58" s="11"/>
      <c r="K58" s="11"/>
    </row>
    <row r="60" spans="1:11">
      <c r="B60" s="10"/>
      <c r="C60" s="10"/>
      <c r="D60" s="10"/>
      <c r="E60" s="10"/>
      <c r="F60" s="10"/>
      <c r="G60" s="10"/>
      <c r="H60" s="10"/>
      <c r="I60" s="10"/>
      <c r="J60" s="10"/>
      <c r="K60" s="10"/>
    </row>
    <row r="61" spans="1:11">
      <c r="B61" s="11"/>
      <c r="C61" s="11"/>
      <c r="D61" s="11"/>
      <c r="E61" s="11"/>
      <c r="F61" s="11"/>
      <c r="G61" s="11"/>
      <c r="H61" s="11"/>
      <c r="I61" s="11"/>
      <c r="J61" s="11"/>
      <c r="K61" s="11"/>
    </row>
    <row r="63" spans="1:11">
      <c r="B63" s="10"/>
      <c r="C63" s="10"/>
      <c r="D63" s="10"/>
      <c r="E63" s="10"/>
      <c r="F63" s="10"/>
      <c r="G63" s="10"/>
      <c r="H63" s="10"/>
      <c r="I63" s="10"/>
      <c r="J63" s="10"/>
    </row>
    <row r="64" spans="1:11">
      <c r="B64" s="24"/>
      <c r="C64" s="24"/>
      <c r="D64" s="24"/>
      <c r="E64" s="24"/>
      <c r="F64" s="24"/>
      <c r="G64" s="24"/>
      <c r="H64" s="24"/>
      <c r="I64" s="24"/>
      <c r="J64" s="24"/>
    </row>
    <row r="65" spans="1:11">
      <c r="B65" s="24"/>
      <c r="C65" s="24"/>
      <c r="D65" s="24"/>
      <c r="E65" s="24"/>
      <c r="F65" s="24"/>
      <c r="G65" s="24"/>
      <c r="H65" s="24"/>
      <c r="I65" s="24"/>
      <c r="J65" s="24"/>
    </row>
    <row r="66" spans="1:11">
      <c r="B66" s="24"/>
      <c r="C66" s="24"/>
      <c r="D66" s="24"/>
      <c r="E66" s="24"/>
      <c r="F66" s="24"/>
      <c r="G66" s="24"/>
      <c r="H66" s="24"/>
      <c r="I66" s="24"/>
      <c r="J66" s="24"/>
    </row>
    <row r="73" spans="1:11">
      <c r="A73" s="13"/>
    </row>
    <row r="74" spans="1:11">
      <c r="A74" s="13"/>
    </row>
    <row r="75" spans="1:11">
      <c r="A75" s="13"/>
    </row>
    <row r="77" spans="1:11">
      <c r="B77" s="10"/>
      <c r="C77" s="10"/>
      <c r="D77" s="10"/>
      <c r="E77" s="10"/>
      <c r="F77" s="10"/>
      <c r="G77" s="10"/>
      <c r="H77" s="10"/>
      <c r="I77" s="10"/>
      <c r="J77" s="10"/>
      <c r="K77" s="10"/>
    </row>
    <row r="78" spans="1:11">
      <c r="B78" s="10"/>
      <c r="C78" s="10"/>
      <c r="D78" s="10"/>
      <c r="E78" s="10"/>
      <c r="F78" s="10"/>
      <c r="G78" s="10"/>
      <c r="H78" s="10"/>
      <c r="I78" s="10"/>
      <c r="J78" s="10"/>
      <c r="K78" s="10"/>
    </row>
    <row r="79" spans="1:11">
      <c r="B79" s="10"/>
      <c r="C79" s="10"/>
      <c r="D79" s="10"/>
      <c r="E79" s="10"/>
      <c r="F79" s="10"/>
      <c r="G79" s="10"/>
      <c r="H79" s="10"/>
      <c r="I79" s="10"/>
      <c r="J79" s="10"/>
      <c r="K79" s="10"/>
    </row>
    <row r="81" spans="2:11">
      <c r="B81" s="11"/>
      <c r="C81" s="11"/>
      <c r="D81" s="11"/>
      <c r="E81" s="11"/>
      <c r="F81" s="11"/>
      <c r="G81" s="11"/>
      <c r="H81" s="11"/>
      <c r="I81" s="11"/>
      <c r="J81" s="11"/>
      <c r="K81" s="11"/>
    </row>
    <row r="82" spans="2:11">
      <c r="B82" s="11"/>
      <c r="C82" s="11"/>
      <c r="D82" s="11"/>
      <c r="E82" s="11"/>
      <c r="F82" s="11"/>
      <c r="G82" s="11"/>
      <c r="H82" s="11"/>
      <c r="I82" s="11"/>
      <c r="J82" s="11"/>
      <c r="K82" s="11"/>
    </row>
    <row r="83" spans="2:11">
      <c r="B83" s="11"/>
      <c r="C83" s="11"/>
      <c r="D83" s="11"/>
      <c r="E83" s="11"/>
      <c r="F83" s="11"/>
      <c r="G83" s="11"/>
      <c r="H83" s="11"/>
      <c r="I83" s="11"/>
      <c r="J83" s="11"/>
      <c r="K83" s="11"/>
    </row>
    <row r="85" spans="2:11">
      <c r="B85" s="10"/>
      <c r="C85" s="10"/>
      <c r="D85" s="10"/>
      <c r="E85" s="10"/>
      <c r="F85" s="10"/>
      <c r="G85" s="10"/>
      <c r="H85" s="10"/>
      <c r="I85" s="10"/>
      <c r="J85" s="10"/>
      <c r="K85" s="10"/>
    </row>
    <row r="86" spans="2:11">
      <c r="B86" s="10"/>
      <c r="C86" s="10"/>
      <c r="D86" s="10"/>
      <c r="E86" s="10"/>
      <c r="F86" s="10"/>
      <c r="G86" s="10"/>
      <c r="H86" s="10"/>
      <c r="I86" s="10"/>
      <c r="J86" s="10"/>
      <c r="K86" s="10"/>
    </row>
    <row r="87" spans="2:11">
      <c r="B87" s="10"/>
      <c r="C87" s="10"/>
      <c r="D87" s="10"/>
      <c r="E87" s="10"/>
      <c r="F87" s="10"/>
      <c r="G87" s="10"/>
      <c r="H87" s="10"/>
      <c r="I87" s="10"/>
      <c r="J87" s="10"/>
      <c r="K87" s="10"/>
    </row>
    <row r="89" spans="2:11">
      <c r="B89" s="11"/>
      <c r="C89" s="11"/>
      <c r="D89" s="11"/>
      <c r="E89" s="11"/>
      <c r="F89" s="11"/>
      <c r="G89" s="11"/>
      <c r="H89" s="11"/>
      <c r="I89" s="11"/>
      <c r="J89" s="11"/>
      <c r="K89" s="11"/>
    </row>
    <row r="90" spans="2:11">
      <c r="B90" s="11"/>
      <c r="C90" s="11"/>
      <c r="D90" s="11"/>
      <c r="E90" s="11"/>
      <c r="F90" s="11"/>
      <c r="G90" s="11"/>
      <c r="H90" s="11"/>
      <c r="I90" s="11"/>
      <c r="J90" s="11"/>
      <c r="K90" s="11"/>
    </row>
    <row r="91" spans="2:11">
      <c r="B91" s="11"/>
      <c r="C91" s="11"/>
      <c r="D91" s="11"/>
      <c r="E91" s="11"/>
      <c r="F91" s="11"/>
      <c r="G91" s="11"/>
      <c r="H91" s="11"/>
      <c r="I91" s="11"/>
      <c r="J91" s="11"/>
      <c r="K91" s="11"/>
    </row>
    <row r="96" spans="2:11">
      <c r="B96" s="11"/>
      <c r="C96" s="11"/>
      <c r="D96" s="11"/>
      <c r="E96" s="11"/>
      <c r="F96" s="11"/>
      <c r="G96" s="11"/>
      <c r="H96" s="11"/>
      <c r="I96" s="11"/>
      <c r="J96" s="11"/>
      <c r="K96" s="11"/>
    </row>
    <row r="97" spans="2:11">
      <c r="B97" s="11"/>
      <c r="C97" s="11"/>
      <c r="D97" s="11"/>
      <c r="E97" s="11"/>
      <c r="F97" s="11"/>
      <c r="G97" s="11"/>
      <c r="H97" s="11"/>
      <c r="I97" s="11"/>
      <c r="J97" s="11"/>
      <c r="K97" s="11"/>
    </row>
    <row r="98" spans="2:11">
      <c r="B98" s="11"/>
      <c r="C98" s="11"/>
      <c r="D98" s="11"/>
      <c r="E98" s="11"/>
      <c r="F98" s="11"/>
      <c r="G98" s="11"/>
      <c r="H98" s="11"/>
      <c r="I98" s="11"/>
      <c r="J98" s="11"/>
      <c r="K98" s="11"/>
    </row>
    <row r="99" spans="2:11">
      <c r="B99" s="11"/>
      <c r="C99" s="11"/>
      <c r="D99" s="11"/>
      <c r="E99" s="11"/>
      <c r="F99" s="11"/>
      <c r="G99" s="11"/>
      <c r="H99" s="11"/>
      <c r="I99" s="11"/>
      <c r="J99" s="11"/>
      <c r="K99" s="11"/>
    </row>
    <row r="100" spans="2:11">
      <c r="B100" s="11"/>
      <c r="C100" s="11"/>
      <c r="D100" s="11"/>
      <c r="E100" s="11"/>
      <c r="F100" s="11"/>
      <c r="G100" s="11"/>
      <c r="H100" s="11"/>
      <c r="I100" s="11"/>
      <c r="J100" s="11"/>
    </row>
    <row r="101" spans="2:11">
      <c r="B101" s="11"/>
      <c r="C101" s="11"/>
      <c r="D101" s="11"/>
      <c r="E101" s="11"/>
      <c r="F101" s="11"/>
      <c r="G101" s="11"/>
      <c r="H101" s="11"/>
      <c r="I101" s="11"/>
      <c r="J101" s="11"/>
    </row>
    <row r="102" spans="2:11">
      <c r="B102" s="11"/>
      <c r="C102" s="11"/>
      <c r="D102" s="11"/>
      <c r="E102" s="11"/>
      <c r="F102" s="11"/>
      <c r="G102" s="11"/>
      <c r="H102" s="11"/>
      <c r="I102" s="11"/>
      <c r="J102" s="11"/>
      <c r="K102" s="11"/>
    </row>
    <row r="103" spans="2:11">
      <c r="B103" s="11"/>
      <c r="C103" s="11"/>
      <c r="D103" s="11"/>
      <c r="E103" s="11"/>
      <c r="F103" s="11"/>
      <c r="G103" s="11"/>
      <c r="H103" s="11"/>
      <c r="I103" s="11"/>
      <c r="J103" s="11"/>
      <c r="K103" s="11"/>
    </row>
    <row r="104" spans="2:11">
      <c r="B104" s="11"/>
      <c r="C104" s="11"/>
      <c r="D104" s="11"/>
      <c r="E104" s="11"/>
      <c r="F104" s="11"/>
      <c r="G104" s="11"/>
      <c r="H104" s="11"/>
      <c r="I104" s="11"/>
      <c r="J104" s="11"/>
      <c r="K104" s="11"/>
    </row>
    <row r="105" spans="2:11">
      <c r="B105" s="11"/>
      <c r="C105" s="11"/>
      <c r="D105" s="11"/>
      <c r="E105" s="11"/>
      <c r="F105" s="11"/>
      <c r="G105" s="11"/>
      <c r="H105" s="11"/>
      <c r="I105" s="11"/>
      <c r="J105" s="11"/>
      <c r="K105" s="11"/>
    </row>
  </sheetData>
  <phoneticPr fontId="0" type="noConversion"/>
  <pageMargins left="0.75" right="0.75" top="1" bottom="1" header="0.5" footer="0.5"/>
  <pageSetup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AE72"/>
  <sheetViews>
    <sheetView topLeftCell="A37" workbookViewId="0">
      <selection activeCell="B74" sqref="B74:G74"/>
    </sheetView>
  </sheetViews>
  <sheetFormatPr defaultRowHeight="12.75"/>
  <cols>
    <col min="2" max="2" width="14.140625" customWidth="1"/>
    <col min="9" max="9" width="12.7109375" customWidth="1"/>
    <col min="10" max="10" width="14.28515625" customWidth="1"/>
    <col min="11" max="12" width="12.42578125" customWidth="1"/>
    <col min="13" max="13" width="11.7109375" customWidth="1"/>
    <col min="14" max="14" width="11.42578125" customWidth="1"/>
    <col min="16" max="16" width="12" customWidth="1"/>
    <col min="18" max="18" width="13.28515625" customWidth="1"/>
    <col min="19" max="19" width="13.42578125" customWidth="1"/>
    <col min="20" max="20" width="14.140625" customWidth="1"/>
    <col min="21" max="21" width="13" customWidth="1"/>
    <col min="22" max="22" width="13.28515625" customWidth="1"/>
    <col min="23" max="23" width="10.28515625" bestFit="1" customWidth="1"/>
    <col min="25" max="25" width="11" customWidth="1"/>
    <col min="26" max="26" width="12" customWidth="1"/>
    <col min="27" max="27" width="13" customWidth="1"/>
    <col min="28" max="28" width="12.140625" customWidth="1"/>
    <col min="29" max="30" width="11.42578125" customWidth="1"/>
    <col min="31" max="31" width="11.28515625" customWidth="1"/>
  </cols>
  <sheetData>
    <row r="1" spans="1:31" ht="19.5">
      <c r="C1" s="1"/>
      <c r="D1" s="1"/>
      <c r="E1" s="1"/>
      <c r="F1" s="1"/>
      <c r="G1" s="1"/>
      <c r="H1" s="1"/>
      <c r="I1" s="1"/>
      <c r="J1" s="1"/>
      <c r="N1" s="2" t="str">
        <f>+Input!$B$1</f>
        <v>Development of NAIC Data</v>
      </c>
    </row>
    <row r="2" spans="1:31" ht="19.5">
      <c r="C2" s="1" t="str">
        <f>+'Paid Tria'!A2</f>
        <v>Selected Small Company Number 2 CMP</v>
      </c>
      <c r="D2" s="1"/>
      <c r="E2" s="1"/>
      <c r="F2" s="1"/>
      <c r="G2" s="1"/>
      <c r="H2" s="1"/>
      <c r="I2" s="1"/>
      <c r="J2" s="1"/>
      <c r="N2" s="2"/>
    </row>
    <row r="3" spans="1:31" ht="15.75">
      <c r="C3" s="3"/>
      <c r="D3" s="3"/>
      <c r="E3" s="3"/>
      <c r="F3" s="3"/>
      <c r="G3" s="3"/>
      <c r="H3" s="3"/>
      <c r="I3" s="3"/>
      <c r="J3" s="3"/>
      <c r="N3" s="2"/>
    </row>
    <row r="4" spans="1:31">
      <c r="B4" s="4"/>
      <c r="C4" s="4"/>
      <c r="D4" s="4"/>
      <c r="E4" s="4"/>
      <c r="F4" s="4"/>
      <c r="G4" s="4"/>
      <c r="H4" s="4"/>
      <c r="I4" s="4"/>
      <c r="J4" s="4"/>
      <c r="L4" s="4"/>
    </row>
    <row r="5" spans="1:31">
      <c r="B5" s="4" t="s">
        <v>0</v>
      </c>
      <c r="C5" s="4"/>
      <c r="D5" s="4"/>
      <c r="E5" s="4"/>
      <c r="F5" s="4"/>
      <c r="G5" s="4"/>
      <c r="H5" s="4"/>
      <c r="I5" s="4"/>
      <c r="J5" s="4"/>
      <c r="K5" s="4"/>
      <c r="L5" s="4"/>
      <c r="N5" s="2"/>
    </row>
    <row r="6" spans="1:31" ht="13.5" thickBot="1">
      <c r="A6" s="6"/>
      <c r="B6" s="6"/>
      <c r="C6" s="6"/>
      <c r="D6" s="6"/>
      <c r="E6" s="6"/>
      <c r="F6" s="6"/>
      <c r="G6" s="6"/>
      <c r="H6" s="6"/>
      <c r="I6" s="6"/>
      <c r="J6" s="6"/>
      <c r="K6" s="6"/>
      <c r="L6" s="6"/>
      <c r="M6" s="6"/>
      <c r="N6" s="6"/>
    </row>
    <row r="7" spans="1:31">
      <c r="A7" s="43" t="s">
        <v>198</v>
      </c>
      <c r="B7" s="47"/>
      <c r="C7" s="67"/>
      <c r="D7" s="47"/>
      <c r="E7" s="47"/>
      <c r="F7" s="47"/>
      <c r="G7" s="47"/>
      <c r="H7" s="47"/>
      <c r="I7" s="58"/>
      <c r="J7" s="71"/>
      <c r="K7" s="67" t="s">
        <v>199</v>
      </c>
      <c r="L7" s="47"/>
      <c r="M7" s="47"/>
      <c r="N7" s="47"/>
      <c r="O7" s="42"/>
      <c r="P7" s="37"/>
      <c r="Q7" s="74" t="s">
        <v>41</v>
      </c>
      <c r="R7" s="85" t="s">
        <v>200</v>
      </c>
      <c r="S7" s="42"/>
      <c r="T7" s="42"/>
      <c r="U7" s="42"/>
      <c r="V7" s="42"/>
      <c r="W7" s="37"/>
      <c r="X7" s="85" t="s">
        <v>201</v>
      </c>
      <c r="Y7" s="42"/>
      <c r="Z7" s="42"/>
      <c r="AA7" s="42"/>
      <c r="AB7" s="42"/>
      <c r="AC7" s="37"/>
      <c r="AE7" s="87" t="s">
        <v>202</v>
      </c>
    </row>
    <row r="8" spans="1:31">
      <c r="A8" s="44"/>
      <c r="B8" s="41"/>
      <c r="C8" s="41"/>
      <c r="D8" s="41"/>
      <c r="E8" s="41"/>
      <c r="F8" s="41"/>
      <c r="G8" s="41"/>
      <c r="H8" s="41"/>
      <c r="I8" s="39"/>
      <c r="J8" s="38"/>
      <c r="K8" s="41"/>
      <c r="L8" s="41"/>
      <c r="M8" s="41"/>
      <c r="N8" s="41"/>
      <c r="O8" s="19"/>
      <c r="P8" s="40"/>
      <c r="Q8" s="68"/>
      <c r="R8" s="38"/>
      <c r="S8" s="19"/>
      <c r="T8" s="19"/>
      <c r="U8" s="19"/>
      <c r="V8" s="19"/>
      <c r="W8" s="40"/>
      <c r="X8" s="38"/>
      <c r="Y8" s="19"/>
      <c r="Z8" s="19"/>
      <c r="AA8" s="19"/>
      <c r="AB8" s="19"/>
      <c r="AC8" s="40"/>
      <c r="AE8" s="68"/>
    </row>
    <row r="9" spans="1:31">
      <c r="A9" s="44"/>
      <c r="B9" s="41"/>
      <c r="C9" s="41"/>
      <c r="D9" s="41"/>
      <c r="E9" s="41"/>
      <c r="F9" s="41"/>
      <c r="G9" s="41"/>
      <c r="H9" s="41" t="s">
        <v>5</v>
      </c>
      <c r="I9" s="39" t="s">
        <v>6</v>
      </c>
      <c r="J9" s="44"/>
      <c r="K9" s="41" t="s">
        <v>6</v>
      </c>
      <c r="L9" s="41"/>
      <c r="M9" s="41"/>
      <c r="N9" s="41" t="s">
        <v>136</v>
      </c>
      <c r="O9" s="41" t="s">
        <v>134</v>
      </c>
      <c r="P9" s="39"/>
      <c r="Q9" s="89" t="s">
        <v>8</v>
      </c>
      <c r="R9" s="44"/>
      <c r="S9" s="41"/>
      <c r="T9" s="41"/>
      <c r="U9" s="41" t="s">
        <v>136</v>
      </c>
      <c r="V9" s="41" t="s">
        <v>134</v>
      </c>
      <c r="W9" s="39"/>
      <c r="X9" s="84"/>
      <c r="Y9" s="45"/>
      <c r="Z9" s="45"/>
      <c r="AA9" s="45" t="s">
        <v>136</v>
      </c>
      <c r="AB9" s="45" t="s">
        <v>134</v>
      </c>
      <c r="AC9" s="46"/>
      <c r="AE9" s="88" t="s">
        <v>156</v>
      </c>
    </row>
    <row r="10" spans="1:31">
      <c r="A10" s="44"/>
      <c r="B10" s="41"/>
      <c r="C10" s="59" t="s">
        <v>7</v>
      </c>
      <c r="D10" s="59" t="s">
        <v>7</v>
      </c>
      <c r="E10" s="41"/>
      <c r="F10" s="41"/>
      <c r="G10" s="41"/>
      <c r="H10" s="41" t="s">
        <v>8</v>
      </c>
      <c r="I10" s="60" t="s">
        <v>7</v>
      </c>
      <c r="J10" s="48" t="s">
        <v>154</v>
      </c>
      <c r="K10" s="41" t="s">
        <v>152</v>
      </c>
      <c r="L10" s="41" t="s">
        <v>134</v>
      </c>
      <c r="M10" s="41" t="s">
        <v>136</v>
      </c>
      <c r="N10" s="41" t="s">
        <v>20</v>
      </c>
      <c r="O10" s="41" t="str">
        <f>+N10</f>
        <v>% Paid</v>
      </c>
      <c r="P10" s="39" t="s">
        <v>137</v>
      </c>
      <c r="Q10" s="89" t="s">
        <v>138</v>
      </c>
      <c r="R10" s="44" t="s">
        <v>140</v>
      </c>
      <c r="S10" s="41" t="str">
        <f>+L10</f>
        <v>Geometric</v>
      </c>
      <c r="T10" s="41" t="str">
        <f>+M10</f>
        <v>Linear</v>
      </c>
      <c r="U10" s="41" t="s">
        <v>20</v>
      </c>
      <c r="V10" s="41" t="str">
        <f>+U10</f>
        <v>% Paid</v>
      </c>
      <c r="W10" s="39" t="str">
        <f>+P10</f>
        <v>Unadjusted</v>
      </c>
      <c r="X10" s="44" t="s">
        <v>140</v>
      </c>
      <c r="Y10" s="41" t="s">
        <v>134</v>
      </c>
      <c r="Z10" s="41" t="s">
        <v>136</v>
      </c>
      <c r="AA10" s="45" t="s">
        <v>20</v>
      </c>
      <c r="AB10" s="45" t="str">
        <f>+AA10</f>
        <v>% Paid</v>
      </c>
      <c r="AC10" s="39" t="s">
        <v>137</v>
      </c>
      <c r="AD10" s="6" t="s">
        <v>147</v>
      </c>
      <c r="AE10" s="69" t="s">
        <v>150</v>
      </c>
    </row>
    <row r="11" spans="1:31">
      <c r="A11" s="44" t="s">
        <v>10</v>
      </c>
      <c r="B11" s="41" t="s">
        <v>11</v>
      </c>
      <c r="C11" s="41" t="s">
        <v>12</v>
      </c>
      <c r="D11" s="41" t="s">
        <v>13</v>
      </c>
      <c r="E11" s="41" t="s">
        <v>14</v>
      </c>
      <c r="F11" s="41" t="s">
        <v>15</v>
      </c>
      <c r="G11" s="41" t="s">
        <v>16</v>
      </c>
      <c r="H11" s="41" t="s">
        <v>17</v>
      </c>
      <c r="I11" s="39" t="s">
        <v>12</v>
      </c>
      <c r="J11" s="48" t="s">
        <v>155</v>
      </c>
      <c r="K11" s="41" t="s">
        <v>11</v>
      </c>
      <c r="L11" s="41" t="s">
        <v>135</v>
      </c>
      <c r="M11" s="41" t="s">
        <v>135</v>
      </c>
      <c r="N11" s="41" t="str">
        <f>+L11</f>
        <v>Interpolation</v>
      </c>
      <c r="O11" s="41" t="str">
        <f>+N11</f>
        <v>Interpolation</v>
      </c>
      <c r="P11" s="39" t="s">
        <v>8</v>
      </c>
      <c r="Q11" s="89" t="s">
        <v>139</v>
      </c>
      <c r="R11" s="44" t="s">
        <v>8</v>
      </c>
      <c r="S11" s="41" t="str">
        <f>+L11</f>
        <v>Interpolation</v>
      </c>
      <c r="T11" s="41" t="str">
        <f>+M11</f>
        <v>Interpolation</v>
      </c>
      <c r="U11" s="41" t="str">
        <f>+S11</f>
        <v>Interpolation</v>
      </c>
      <c r="V11" s="41" t="str">
        <f>+U11</f>
        <v>Interpolation</v>
      </c>
      <c r="W11" s="39" t="str">
        <f>+P11</f>
        <v>Weibull</v>
      </c>
      <c r="X11" s="44" t="s">
        <v>8</v>
      </c>
      <c r="Y11" s="41" t="s">
        <v>135</v>
      </c>
      <c r="Z11" s="41" t="s">
        <v>135</v>
      </c>
      <c r="AA11" s="45" t="str">
        <f>+Y11</f>
        <v>Interpolation</v>
      </c>
      <c r="AB11" s="45" t="str">
        <f>+AA11</f>
        <v>Interpolation</v>
      </c>
      <c r="AC11" s="39" t="s">
        <v>8</v>
      </c>
      <c r="AD11" s="6" t="s">
        <v>148</v>
      </c>
      <c r="AE11" s="69" t="s">
        <v>151</v>
      </c>
    </row>
    <row r="12" spans="1:31">
      <c r="A12" s="38"/>
      <c r="B12" s="19"/>
      <c r="C12" s="19"/>
      <c r="D12" s="19"/>
      <c r="E12" s="19"/>
      <c r="F12" s="19"/>
      <c r="G12" s="19"/>
      <c r="H12" s="19"/>
      <c r="I12" s="40"/>
      <c r="J12" s="38"/>
      <c r="K12" s="19"/>
      <c r="L12" s="19"/>
      <c r="M12" s="19"/>
      <c r="N12" s="19"/>
      <c r="O12" s="19"/>
      <c r="P12" s="40"/>
      <c r="Q12" s="68"/>
      <c r="R12" s="38"/>
      <c r="S12" s="19"/>
      <c r="T12" s="19"/>
      <c r="U12" s="19"/>
      <c r="V12" s="19"/>
      <c r="W12" s="40"/>
      <c r="X12" s="38"/>
      <c r="Y12" s="19"/>
      <c r="Z12" s="19"/>
      <c r="AA12" s="19"/>
      <c r="AB12" s="19"/>
      <c r="AC12" s="40"/>
      <c r="AE12" s="68"/>
    </row>
    <row r="13" spans="1:31">
      <c r="A13" s="38">
        <v>0</v>
      </c>
      <c r="B13" s="19"/>
      <c r="C13" s="19">
        <v>0</v>
      </c>
      <c r="D13" s="19">
        <v>0</v>
      </c>
      <c r="E13" s="19"/>
      <c r="F13" s="19"/>
      <c r="G13" s="19"/>
      <c r="H13" s="19">
        <f>1-EXP(-G$25*(A13^G$26))</f>
        <v>0</v>
      </c>
      <c r="I13" s="40"/>
      <c r="J13" s="38"/>
      <c r="K13" s="19" t="s">
        <v>22</v>
      </c>
      <c r="L13" s="19"/>
      <c r="M13" s="19"/>
      <c r="N13" s="19"/>
      <c r="O13" s="19"/>
      <c r="P13" s="40"/>
      <c r="Q13" s="68"/>
      <c r="R13" s="38"/>
      <c r="S13" s="19"/>
      <c r="T13" s="19"/>
      <c r="U13" s="19"/>
      <c r="V13" s="19"/>
      <c r="W13" s="40"/>
      <c r="X13" s="38"/>
      <c r="Y13" s="19"/>
      <c r="Z13" s="19"/>
      <c r="AA13" s="19"/>
      <c r="AB13" s="19"/>
      <c r="AC13" s="40"/>
      <c r="AE13" s="68"/>
    </row>
    <row r="14" spans="1:31">
      <c r="A14" s="38">
        <v>12</v>
      </c>
      <c r="B14" s="61">
        <f>+'Paid Tria'!B47</f>
        <v>2.3580720781101023</v>
      </c>
      <c r="C14" s="19">
        <f t="shared" ref="C14:C22" si="0">1/B14</f>
        <v>0.42407524743749936</v>
      </c>
      <c r="D14" s="19"/>
      <c r="E14" s="19"/>
      <c r="F14" s="19"/>
      <c r="G14" s="19"/>
      <c r="H14" s="19">
        <f>1-EXP(-G$26*(A14^G$27))</f>
        <v>0.41365742098992997</v>
      </c>
      <c r="I14" s="40">
        <f>+C13+(C15-C13)*(H14-H13)/(H15-H13)</f>
        <v>0.41479473084063229</v>
      </c>
      <c r="J14" s="72">
        <f>+B14</f>
        <v>2.3580720781101023</v>
      </c>
      <c r="K14" s="19">
        <f t="shared" ref="K14:K18" si="1">1/I14</f>
        <v>2.410831010252656</v>
      </c>
      <c r="L14" s="19"/>
      <c r="M14" s="19"/>
      <c r="N14" s="19">
        <f>2/(C13+C15)</f>
        <v>3.2910052288905454</v>
      </c>
      <c r="O14" s="19"/>
      <c r="P14" s="40">
        <f>1/H14</f>
        <v>2.4174593498332135</v>
      </c>
      <c r="Q14" s="68">
        <f>+IF(H14&gt;C15,1,IF(H14&lt;C13,1,0))</f>
        <v>0</v>
      </c>
      <c r="R14" s="75">
        <f>+((K14-$B14)/$B14)^2</f>
        <v>5.0058501137394769E-4</v>
      </c>
      <c r="S14" s="76"/>
      <c r="T14" s="76"/>
      <c r="U14" s="76">
        <f t="shared" ref="U14:W14" si="2">+((N14-$B14)/$B14)^2</f>
        <v>0.15652614861468322</v>
      </c>
      <c r="V14" s="76"/>
      <c r="W14" s="77">
        <f t="shared" si="2"/>
        <v>6.3426770126016419E-4</v>
      </c>
      <c r="X14" s="75">
        <f>+((K14-$B14)/($B14-1))^2</f>
        <v>1.5091984585063872E-3</v>
      </c>
      <c r="Y14" s="76"/>
      <c r="Z14" s="76"/>
      <c r="AA14" s="76">
        <f>+((N14-$B14)/($B14-1))^2</f>
        <v>0.47190590376816838</v>
      </c>
      <c r="AB14" s="76"/>
      <c r="AC14" s="77">
        <f>+((P14-$B14)/($B14-1))^2</f>
        <v>1.9122343163949708E-3</v>
      </c>
      <c r="AD14" s="34">
        <f>+((H15-C15)^2+(H17-C17)^2+(H19-C19)^2+(H21-C21)^2)*0.25</f>
        <v>3.9287934226115642E-5</v>
      </c>
      <c r="AE14" s="86">
        <f>+SQRT(MAX((H15-C15)^2,(H17-C17)^2,(H19-C19)^2,(H21-C21)^2))</f>
        <v>8.9230335345059641E-3</v>
      </c>
    </row>
    <row r="15" spans="1:31">
      <c r="A15" s="38">
        <f t="shared" ref="A15:A22" si="3">+A14+12</f>
        <v>24</v>
      </c>
      <c r="B15" s="61">
        <f>+'Paid Tria'!C47</f>
        <v>1.6455026144452727</v>
      </c>
      <c r="C15" s="19">
        <f t="shared" si="0"/>
        <v>0.60771705327075232</v>
      </c>
      <c r="D15" s="19">
        <f>1-C15</f>
        <v>0.39228294672924768</v>
      </c>
      <c r="E15" s="19">
        <f>+LN(D15)</f>
        <v>-0.93577189668535476</v>
      </c>
      <c r="F15" s="19">
        <f>+LN(-E15)</f>
        <v>-6.6383532326729389E-2</v>
      </c>
      <c r="G15" s="19">
        <f>+LN(A15)</f>
        <v>3.1780538303479458</v>
      </c>
      <c r="H15" s="19">
        <f t="shared" ref="H15:H22" si="4">1-EXP(-G$26*(A15^G$27))</f>
        <v>0.60605077706294253</v>
      </c>
      <c r="I15" s="40"/>
      <c r="J15" s="38"/>
      <c r="K15" s="19"/>
      <c r="L15" s="19"/>
      <c r="M15" s="19"/>
      <c r="N15" s="19"/>
      <c r="O15" s="19"/>
      <c r="P15" s="40"/>
      <c r="Q15" s="68"/>
      <c r="R15" s="78"/>
      <c r="S15" s="79"/>
      <c r="T15" s="79"/>
      <c r="U15" s="79"/>
      <c r="V15" s="79"/>
      <c r="W15" s="80"/>
      <c r="X15" s="78"/>
      <c r="Y15" s="79"/>
      <c r="Z15" s="79"/>
      <c r="AA15" s="79"/>
      <c r="AB15" s="79"/>
      <c r="AC15" s="80"/>
      <c r="AE15" s="68"/>
    </row>
    <row r="16" spans="1:31">
      <c r="A16" s="38">
        <f t="shared" si="3"/>
        <v>36</v>
      </c>
      <c r="B16" s="61">
        <f>+'Paid Tria'!D47</f>
        <v>1.415521422723689</v>
      </c>
      <c r="C16" s="19">
        <f t="shared" si="0"/>
        <v>0.70645345520510772</v>
      </c>
      <c r="D16" s="19"/>
      <c r="E16" s="19"/>
      <c r="F16" s="19"/>
      <c r="G16" s="19"/>
      <c r="H16" s="19">
        <f t="shared" si="4"/>
        <v>0.72476181364972092</v>
      </c>
      <c r="I16" s="40">
        <f>+C15+(C17-C15)*(H16-H15)/(H17-H15)</f>
        <v>0.72055248071906286</v>
      </c>
      <c r="J16" s="72">
        <f>+B16</f>
        <v>1.415521422723689</v>
      </c>
      <c r="K16" s="19">
        <f t="shared" si="1"/>
        <v>1.3878239639145609</v>
      </c>
      <c r="L16" s="19">
        <f>+SQRT(B15*B17)</f>
        <v>1.438604931977973</v>
      </c>
      <c r="M16" s="19">
        <f>0.5*(B15+B17)</f>
        <v>1.4516120978841696</v>
      </c>
      <c r="N16" s="19">
        <f>2/(C15+C17)</f>
        <v>1.4257143167433766</v>
      </c>
      <c r="O16" s="19">
        <f>1/SQRT(C15*C16)</f>
        <v>1.5261861622669504</v>
      </c>
      <c r="P16" s="40">
        <f>1/H16</f>
        <v>1.3797636425741691</v>
      </c>
      <c r="Q16" s="68">
        <f>+IF(H16&gt;C17,1,IF(H16&lt;C15,1,0))</f>
        <v>0</v>
      </c>
      <c r="R16" s="75">
        <f>+((K16-$B16)/$B16)^2</f>
        <v>3.8286613794326883E-4</v>
      </c>
      <c r="S16" s="76">
        <f t="shared" ref="S16:W16" si="5">+((L16-$B16)/$B16)^2</f>
        <v>2.6593210592161471E-4</v>
      </c>
      <c r="T16" s="76">
        <f t="shared" si="5"/>
        <v>6.5006550364684994E-4</v>
      </c>
      <c r="U16" s="76">
        <f t="shared" si="5"/>
        <v>5.1851595510313054E-5</v>
      </c>
      <c r="V16" s="76">
        <f t="shared" si="5"/>
        <v>6.1120322844804408E-3</v>
      </c>
      <c r="W16" s="77">
        <f t="shared" si="5"/>
        <v>6.3812859612759907E-4</v>
      </c>
      <c r="X16" s="75">
        <f>+((K16-$B16)/($B16-1))^2</f>
        <v>4.4431708356416511E-3</v>
      </c>
      <c r="Y16" s="76">
        <f t="shared" ref="Y16:AC16" si="6">+((L16-$B16)/($B16-1))^2</f>
        <v>3.0861485521782176E-3</v>
      </c>
      <c r="Z16" s="76">
        <f t="shared" si="6"/>
        <v>7.5440259683878502E-3</v>
      </c>
      <c r="AA16" s="76">
        <f t="shared" si="6"/>
        <v>6.0173902604844065E-4</v>
      </c>
      <c r="AB16" s="76">
        <f t="shared" si="6"/>
        <v>7.0930283202343833E-2</v>
      </c>
      <c r="AC16" s="77">
        <f t="shared" si="6"/>
        <v>7.4054978665238358E-3</v>
      </c>
      <c r="AE16" s="68"/>
    </row>
    <row r="17" spans="1:31">
      <c r="A17" s="38">
        <f t="shared" si="3"/>
        <v>48</v>
      </c>
      <c r="B17" s="61">
        <f>+'Paid Tria'!E47</f>
        <v>1.2577215813230662</v>
      </c>
      <c r="C17" s="19">
        <f t="shared" si="0"/>
        <v>0.7950885274211843</v>
      </c>
      <c r="D17" s="19">
        <f>1-C17</f>
        <v>0.2049114725788157</v>
      </c>
      <c r="E17" s="19">
        <f>+LN(D17)</f>
        <v>-1.5851772341928883</v>
      </c>
      <c r="F17" s="19">
        <f>+LN(-E17)</f>
        <v>0.4606962207579452</v>
      </c>
      <c r="G17" s="19">
        <f>+LN(A17)</f>
        <v>3.8712010109078911</v>
      </c>
      <c r="H17" s="19">
        <f t="shared" si="4"/>
        <v>0.80317912962207116</v>
      </c>
      <c r="I17" s="40"/>
      <c r="J17" s="38"/>
      <c r="K17" s="19"/>
      <c r="L17" s="19"/>
      <c r="M17" s="19"/>
      <c r="N17" s="19"/>
      <c r="O17" s="19"/>
      <c r="P17" s="40"/>
      <c r="Q17" s="68"/>
      <c r="R17" s="38"/>
      <c r="S17" s="19"/>
      <c r="T17" s="19"/>
      <c r="U17" s="19"/>
      <c r="V17" s="19"/>
      <c r="W17" s="40"/>
      <c r="X17" s="38"/>
      <c r="Y17" s="19"/>
      <c r="Z17" s="19"/>
      <c r="AA17" s="19"/>
      <c r="AB17" s="19"/>
      <c r="AC17" s="40"/>
      <c r="AE17" s="68"/>
    </row>
    <row r="18" spans="1:31">
      <c r="A18" s="38">
        <f t="shared" si="3"/>
        <v>60</v>
      </c>
      <c r="B18" s="61">
        <f>+'Paid Tria'!F47</f>
        <v>1.1518791725321706</v>
      </c>
      <c r="C18" s="19">
        <f t="shared" si="0"/>
        <v>0.86814661107354218</v>
      </c>
      <c r="D18" s="19"/>
      <c r="E18" s="19"/>
      <c r="F18" s="19"/>
      <c r="G18" s="19"/>
      <c r="H18" s="19">
        <f t="shared" si="4"/>
        <v>0.85694375522793143</v>
      </c>
      <c r="I18" s="40">
        <f>+C17+(C19-C17)*(H18-H17)/(H19-H17)</f>
        <v>0.85884534636421039</v>
      </c>
      <c r="J18" s="72">
        <f>+B18</f>
        <v>1.1518791725321706</v>
      </c>
      <c r="K18" s="19">
        <f t="shared" si="1"/>
        <v>1.1643539832093708</v>
      </c>
      <c r="L18" s="19">
        <f>+SQRT(B17*B19)</f>
        <v>1.1797579102078846</v>
      </c>
      <c r="M18" s="19">
        <f>0.5*(B17+B19)</f>
        <v>1.1821743170279704</v>
      </c>
      <c r="N18" s="19">
        <f>2/(C17+C19)</f>
        <v>1.1773464426102436</v>
      </c>
      <c r="O18" s="19">
        <f>1/SQRT(C17*C18)</f>
        <v>1.2036375261557222</v>
      </c>
      <c r="P18" s="40">
        <f>1/H18</f>
        <v>1.1669377294592902</v>
      </c>
      <c r="Q18" s="68">
        <f>+IF(H18&gt;C19,1,IF(H18&lt;C17,1,0))</f>
        <v>0</v>
      </c>
      <c r="R18" s="75">
        <f>+((K18-$B18)/$B18)^2</f>
        <v>1.172881335230632E-4</v>
      </c>
      <c r="S18" s="76">
        <f t="shared" ref="S18" si="7">+((L18-$B18)/$B18)^2</f>
        <v>5.8577705911243109E-4</v>
      </c>
      <c r="T18" s="76">
        <f t="shared" ref="T18" si="8">+((M18-$B18)/$B18)^2</f>
        <v>6.9172298196138284E-4</v>
      </c>
      <c r="U18" s="76">
        <f t="shared" ref="U18" si="9">+((N18-$B18)/$B18)^2</f>
        <v>4.8882221709247602E-4</v>
      </c>
      <c r="V18" s="76">
        <f t="shared" ref="V18" si="10">+((O18-$B18)/$B18)^2</f>
        <v>2.0190499136120486E-3</v>
      </c>
      <c r="W18" s="77">
        <f t="shared" ref="W18" si="11">+((P18-$B18)/$B18)^2</f>
        <v>1.7090424839752939E-4</v>
      </c>
      <c r="X18" s="75">
        <f>+((K18-$B18)/($B18-1))^2</f>
        <v>6.7463905957641243E-3</v>
      </c>
      <c r="Y18" s="76">
        <f t="shared" ref="Y18:AC18" si="12">+((L18-$B18)/($B18-1))^2</f>
        <v>3.3693782346987264E-2</v>
      </c>
      <c r="Z18" s="76">
        <f t="shared" si="12"/>
        <v>3.978777119392525E-2</v>
      </c>
      <c r="AA18" s="76">
        <f t="shared" si="12"/>
        <v>2.8116958718119461E-2</v>
      </c>
      <c r="AB18" s="76">
        <f t="shared" si="12"/>
        <v>0.11613535777591895</v>
      </c>
      <c r="AC18" s="77">
        <f t="shared" si="12"/>
        <v>9.8303790804080658E-3</v>
      </c>
      <c r="AE18" s="68"/>
    </row>
    <row r="19" spans="1:31">
      <c r="A19" s="38">
        <f t="shared" si="3"/>
        <v>72</v>
      </c>
      <c r="B19" s="61">
        <f>+'Paid Tria'!G47</f>
        <v>1.1066270527328745</v>
      </c>
      <c r="C19" s="19">
        <f t="shared" si="0"/>
        <v>0.9036468045223065</v>
      </c>
      <c r="D19" s="19">
        <f>1-C19</f>
        <v>9.6353195477693498E-2</v>
      </c>
      <c r="E19" s="19">
        <f>+LN(D19)</f>
        <v>-2.3397347193609401</v>
      </c>
      <c r="F19" s="19">
        <f>+LN(-E19)</f>
        <v>0.85003755514852586</v>
      </c>
      <c r="G19" s="19">
        <f>+LN(A19)</f>
        <v>4.2766661190160553</v>
      </c>
      <c r="H19" s="19">
        <f t="shared" si="4"/>
        <v>0.89472377098780054</v>
      </c>
      <c r="I19" s="40"/>
      <c r="J19" s="38"/>
      <c r="K19" s="19"/>
      <c r="L19" s="19"/>
      <c r="M19" s="19"/>
      <c r="N19" s="19"/>
      <c r="O19" s="19"/>
      <c r="P19" s="40"/>
      <c r="Q19" s="68"/>
      <c r="R19" s="38"/>
      <c r="S19" s="19"/>
      <c r="T19" s="19"/>
      <c r="U19" s="19"/>
      <c r="V19" s="19"/>
      <c r="W19" s="40"/>
      <c r="X19" s="38"/>
      <c r="Y19" s="19"/>
      <c r="Z19" s="19"/>
      <c r="AA19" s="19"/>
      <c r="AB19" s="19"/>
      <c r="AC19" s="40"/>
      <c r="AE19" s="68"/>
    </row>
    <row r="20" spans="1:31">
      <c r="A20" s="38">
        <f t="shared" si="3"/>
        <v>84</v>
      </c>
      <c r="B20" s="61">
        <f>+'Paid Tria'!H47</f>
        <v>1.0804025821047256</v>
      </c>
      <c r="C20" s="19">
        <f t="shared" si="0"/>
        <v>0.92558090526950254</v>
      </c>
      <c r="D20" s="19"/>
      <c r="E20" s="19"/>
      <c r="F20" s="19"/>
      <c r="G20" s="19"/>
      <c r="H20" s="19">
        <f t="shared" si="4"/>
        <v>0.92175194493411583</v>
      </c>
      <c r="I20" s="40">
        <f>+C19+(C21-C19)*(H20-H19)/(H21-H19)</f>
        <v>0.92373632338189948</v>
      </c>
      <c r="J20" s="72">
        <f>+B20</f>
        <v>1.0804025821047256</v>
      </c>
      <c r="K20" s="19">
        <f t="shared" ref="K20:K22" si="13">1/I20</f>
        <v>1.082560006235211</v>
      </c>
      <c r="L20" s="19">
        <f>+SQRT(B19*B21)</f>
        <v>1.0859942711004753</v>
      </c>
      <c r="M20" s="19">
        <f>0.5*(B19+B21)</f>
        <v>1.0861866175991621</v>
      </c>
      <c r="N20" s="19">
        <f>2/(C19+C21)</f>
        <v>1.0858019586633163</v>
      </c>
      <c r="O20" s="19">
        <f>1/SQRT(C19*C20)</f>
        <v>1.0934362007906726</v>
      </c>
      <c r="P20" s="40">
        <f>1/H20</f>
        <v>1.0848905776613003</v>
      </c>
      <c r="Q20" s="68">
        <f>+IF(H20&gt;C21,1,IF(H20&lt;C19,1,0))</f>
        <v>0</v>
      </c>
      <c r="R20" s="75">
        <f>+((K20-$B20)/$B20)^2</f>
        <v>3.9874921122507816E-6</v>
      </c>
      <c r="S20" s="76">
        <f t="shared" ref="S20" si="14">+((L20-$B20)/$B20)^2</f>
        <v>2.6786427137880655E-5</v>
      </c>
      <c r="T20" s="76">
        <f t="shared" ref="T20" si="15">+((M20-$B20)/$B20)^2</f>
        <v>2.8660955965127737E-5</v>
      </c>
      <c r="U20" s="76">
        <f t="shared" ref="U20" si="16">+((N20-$B20)/$B20)^2</f>
        <v>2.4975604384279207E-5</v>
      </c>
      <c r="V20" s="76">
        <f t="shared" ref="V20" si="17">+((O20-$B20)/$B20)^2</f>
        <v>1.4553209966300078E-4</v>
      </c>
      <c r="W20" s="77">
        <f t="shared" ref="W20" si="18">+((P20-$B20)/$B20)^2</f>
        <v>1.7255740841758593E-5</v>
      </c>
      <c r="X20" s="75">
        <f>+((K20-$B20)/($B20-1))^2</f>
        <v>7.1999763762410943E-4</v>
      </c>
      <c r="Y20" s="76">
        <f t="shared" ref="Y20:AC20" si="19">+((L20-$B20)/($B20-1))^2</f>
        <v>4.8366651812078781E-3</v>
      </c>
      <c r="Z20" s="76">
        <f t="shared" si="19"/>
        <v>5.1751376569601519E-3</v>
      </c>
      <c r="AA20" s="76">
        <f t="shared" si="19"/>
        <v>4.5096957307246026E-3</v>
      </c>
      <c r="AB20" s="76">
        <f t="shared" si="19"/>
        <v>2.6277862126400865E-2</v>
      </c>
      <c r="AC20" s="77">
        <f t="shared" si="19"/>
        <v>3.1157660734549117E-3</v>
      </c>
      <c r="AE20" s="68"/>
    </row>
    <row r="21" spans="1:31">
      <c r="A21" s="38">
        <f t="shared" si="3"/>
        <v>96</v>
      </c>
      <c r="B21" s="61">
        <f>+'Paid Tria'!I47</f>
        <v>1.0657461824654497</v>
      </c>
      <c r="C21" s="19">
        <f t="shared" si="0"/>
        <v>0.9383097180668708</v>
      </c>
      <c r="D21" s="19">
        <f>1-C21</f>
        <v>6.1690281933129198E-2</v>
      </c>
      <c r="E21" s="19">
        <f>+LN(D21)</f>
        <v>-2.785628865611701</v>
      </c>
      <c r="F21" s="19">
        <f>+LN(-E21)</f>
        <v>1.0244736524176803</v>
      </c>
      <c r="G21" s="19">
        <f>+LN(A21)</f>
        <v>4.5643481914678361</v>
      </c>
      <c r="H21" s="19">
        <f t="shared" si="4"/>
        <v>0.94135879810400269</v>
      </c>
      <c r="I21" s="40"/>
      <c r="J21" s="38"/>
      <c r="K21" s="19"/>
      <c r="L21" s="19"/>
      <c r="M21" s="19"/>
      <c r="N21" s="19"/>
      <c r="O21" s="19"/>
      <c r="P21" s="40"/>
      <c r="Q21" s="68"/>
      <c r="R21" s="38"/>
      <c r="S21" s="19"/>
      <c r="T21" s="19"/>
      <c r="U21" s="19"/>
      <c r="V21" s="19"/>
      <c r="W21" s="40"/>
      <c r="X21" s="38"/>
      <c r="Y21" s="19"/>
      <c r="Z21" s="19"/>
      <c r="AA21" s="19"/>
      <c r="AB21" s="19"/>
      <c r="AC21" s="40"/>
      <c r="AE21" s="68"/>
    </row>
    <row r="22" spans="1:31" ht="13.5" thickBot="1">
      <c r="A22" s="38">
        <f t="shared" si="3"/>
        <v>108</v>
      </c>
      <c r="B22" s="61">
        <f>+'Paid Tria'!J47</f>
        <v>1.0600786900762207</v>
      </c>
      <c r="C22" s="19">
        <f t="shared" si="0"/>
        <v>0.94332619772603765</v>
      </c>
      <c r="D22" s="19"/>
      <c r="E22" s="19"/>
      <c r="F22" s="19"/>
      <c r="G22" s="19"/>
      <c r="H22" s="19">
        <f t="shared" si="4"/>
        <v>0.95574265505839917</v>
      </c>
      <c r="I22" s="40">
        <f>+C21+(1-C21)*(H22-H21)/(1-H21)</f>
        <v>0.95344147120481404</v>
      </c>
      <c r="J22" s="73">
        <f>+B22</f>
        <v>1.0600786900762207</v>
      </c>
      <c r="K22" s="65">
        <f t="shared" si="13"/>
        <v>1.048832078529532</v>
      </c>
      <c r="L22" s="65"/>
      <c r="M22" s="65"/>
      <c r="N22" s="65"/>
      <c r="O22" s="65"/>
      <c r="P22" s="66">
        <f>1/H22</f>
        <v>1.0463067591546351</v>
      </c>
      <c r="Q22" s="70">
        <f>IF(H22&lt;C21,1,0)</f>
        <v>0</v>
      </c>
      <c r="R22" s="81">
        <f>+((K22-$B22)/$B22)^2</f>
        <v>1.1255561919136364E-4</v>
      </c>
      <c r="S22" s="82"/>
      <c r="T22" s="82"/>
      <c r="U22" s="82"/>
      <c r="V22" s="82"/>
      <c r="W22" s="83">
        <f t="shared" ref="W22" si="20">+((P22-$B22)/$B22)^2</f>
        <v>1.6877707758268518E-4</v>
      </c>
      <c r="X22" s="81">
        <f>+((K22-$B22)/($B22-1))^2</f>
        <v>3.5043096948439136E-2</v>
      </c>
      <c r="Y22" s="82"/>
      <c r="Z22" s="82"/>
      <c r="AA22" s="82"/>
      <c r="AB22" s="82"/>
      <c r="AC22" s="83">
        <f>+((P22-$B22)/($B22-1))^2</f>
        <v>5.2547101023438611E-2</v>
      </c>
      <c r="AE22" s="70"/>
    </row>
    <row r="23" spans="1:31">
      <c r="A23" s="38"/>
      <c r="B23" s="19"/>
      <c r="C23" s="19"/>
      <c r="D23" s="19"/>
      <c r="E23" s="19"/>
      <c r="F23" s="19"/>
      <c r="G23" s="19"/>
      <c r="H23" s="19"/>
      <c r="I23" s="40"/>
    </row>
    <row r="24" spans="1:31">
      <c r="A24" s="38"/>
      <c r="B24" s="19"/>
      <c r="C24" s="19"/>
      <c r="D24" s="19"/>
      <c r="E24" s="19" t="s">
        <v>37</v>
      </c>
      <c r="F24" s="19"/>
      <c r="G24" s="19"/>
      <c r="H24" s="19"/>
      <c r="I24" s="40"/>
    </row>
    <row r="25" spans="1:31">
      <c r="A25" s="38"/>
      <c r="B25" s="19"/>
      <c r="C25" s="19"/>
      <c r="D25" s="19"/>
      <c r="E25" s="90" t="s">
        <v>203</v>
      </c>
      <c r="F25" s="19"/>
      <c r="G25" s="62">
        <f>+INTERCEPT(F15:F21,G15:G21)</f>
        <v>-2.6234408479992997</v>
      </c>
      <c r="H25" s="19"/>
      <c r="I25" s="40"/>
      <c r="R25" s="33"/>
      <c r="S25" s="33"/>
      <c r="T25" s="33"/>
      <c r="U25" s="33"/>
      <c r="V25" s="33"/>
      <c r="W25" s="33"/>
    </row>
    <row r="26" spans="1:31">
      <c r="A26" s="38"/>
      <c r="B26" s="19"/>
      <c r="C26" s="19"/>
      <c r="D26" s="19"/>
      <c r="E26" s="63" t="s">
        <v>38</v>
      </c>
      <c r="F26" s="19"/>
      <c r="G26" s="62">
        <f>+EXP(G25)</f>
        <v>7.255278972103342E-2</v>
      </c>
      <c r="H26" s="19"/>
      <c r="I26" s="40"/>
    </row>
    <row r="27" spans="1:31">
      <c r="A27" s="38"/>
      <c r="B27" s="19"/>
      <c r="C27" s="19"/>
      <c r="D27" s="19"/>
      <c r="E27" s="19" t="s">
        <v>39</v>
      </c>
      <c r="F27" s="19"/>
      <c r="G27" s="62">
        <f>+SLOPE(F15:F21,G15:G21)</f>
        <v>0.80316998825644959</v>
      </c>
      <c r="H27" s="19"/>
      <c r="I27" s="40"/>
    </row>
    <row r="28" spans="1:31" ht="13.5" thickBot="1">
      <c r="A28" s="64"/>
      <c r="B28" s="65"/>
      <c r="C28" s="65"/>
      <c r="D28" s="65"/>
      <c r="E28" s="65"/>
      <c r="F28" s="65"/>
      <c r="G28" s="65"/>
      <c r="H28" s="65"/>
      <c r="I28" s="66"/>
    </row>
    <row r="30" spans="1:31">
      <c r="B30" s="6"/>
      <c r="C30" s="31" t="s">
        <v>145</v>
      </c>
      <c r="D30" s="6"/>
      <c r="E30" s="6"/>
      <c r="F30" s="6"/>
      <c r="G30" s="6"/>
      <c r="H30" s="6"/>
      <c r="I30" s="6"/>
      <c r="J30" s="6"/>
      <c r="K30" s="6"/>
      <c r="L30" s="6"/>
      <c r="M30" s="6"/>
      <c r="N30" s="6"/>
      <c r="O30" s="6"/>
    </row>
    <row r="31" spans="1:31">
      <c r="A31" s="6"/>
      <c r="B31" s="6"/>
      <c r="C31" s="6"/>
      <c r="D31" s="6"/>
      <c r="E31" s="6"/>
      <c r="F31" s="6"/>
      <c r="G31" s="6"/>
      <c r="H31" s="6"/>
      <c r="I31" s="6"/>
      <c r="J31" s="6"/>
      <c r="K31" s="6"/>
      <c r="L31" s="6"/>
      <c r="M31" s="6"/>
      <c r="N31" s="6"/>
      <c r="O31" s="6"/>
      <c r="AE31" s="36" t="s">
        <v>156</v>
      </c>
    </row>
    <row r="32" spans="1:31">
      <c r="A32" s="6"/>
      <c r="B32" s="6"/>
      <c r="C32" s="6"/>
      <c r="D32" s="6"/>
      <c r="E32" s="6"/>
      <c r="F32" s="6"/>
      <c r="G32" s="6"/>
      <c r="H32" s="6" t="s">
        <v>5</v>
      </c>
      <c r="I32" s="6" t="s">
        <v>6</v>
      </c>
      <c r="J32" s="6"/>
      <c r="K32" s="6" t="s">
        <v>6</v>
      </c>
      <c r="L32" s="6"/>
      <c r="M32" s="6"/>
      <c r="N32" s="6" t="s">
        <v>136</v>
      </c>
      <c r="O32" s="6" t="s">
        <v>134</v>
      </c>
      <c r="Q32" s="6" t="s">
        <v>8</v>
      </c>
      <c r="R32" s="31" t="s">
        <v>142</v>
      </c>
      <c r="X32" s="31" t="s">
        <v>143</v>
      </c>
      <c r="AD32" t="s">
        <v>147</v>
      </c>
      <c r="AE32" s="6" t="s">
        <v>150</v>
      </c>
    </row>
    <row r="33" spans="1:31">
      <c r="A33" s="6"/>
      <c r="B33" s="6"/>
      <c r="C33" s="8" t="s">
        <v>7</v>
      </c>
      <c r="D33" s="8" t="s">
        <v>7</v>
      </c>
      <c r="E33" s="6"/>
      <c r="F33" s="6"/>
      <c r="G33" s="6"/>
      <c r="H33" s="6" t="s">
        <v>8</v>
      </c>
      <c r="I33" s="8" t="s">
        <v>7</v>
      </c>
      <c r="J33" s="35" t="s">
        <v>154</v>
      </c>
      <c r="K33" s="6" t="s">
        <v>152</v>
      </c>
      <c r="L33" s="6" t="s">
        <v>134</v>
      </c>
      <c r="M33" s="6" t="s">
        <v>136</v>
      </c>
      <c r="N33" s="6" t="s">
        <v>20</v>
      </c>
      <c r="O33" s="6" t="str">
        <f>+N33</f>
        <v>% Paid</v>
      </c>
      <c r="P33" s="6" t="s">
        <v>137</v>
      </c>
      <c r="Q33" s="6" t="s">
        <v>138</v>
      </c>
      <c r="R33" s="6" t="s">
        <v>140</v>
      </c>
      <c r="S33" s="6" t="str">
        <f>+L33</f>
        <v>Geometric</v>
      </c>
      <c r="T33" s="6" t="str">
        <f>+M33</f>
        <v>Linear</v>
      </c>
      <c r="U33" s="6" t="s">
        <v>136</v>
      </c>
      <c r="V33" s="6" t="s">
        <v>134</v>
      </c>
      <c r="W33" s="6" t="str">
        <f>+P33</f>
        <v>Unadjusted</v>
      </c>
      <c r="X33" s="6" t="s">
        <v>140</v>
      </c>
      <c r="Y33" s="41" t="s">
        <v>134</v>
      </c>
      <c r="Z33" s="41" t="s">
        <v>136</v>
      </c>
      <c r="AA33" s="6" t="s">
        <v>136</v>
      </c>
      <c r="AB33" s="6" t="s">
        <v>134</v>
      </c>
      <c r="AC33" s="6" t="s">
        <v>137</v>
      </c>
      <c r="AD33" t="s">
        <v>148</v>
      </c>
      <c r="AE33" t="s">
        <v>151</v>
      </c>
    </row>
    <row r="34" spans="1:31">
      <c r="A34" s="6" t="s">
        <v>10</v>
      </c>
      <c r="B34" s="6" t="s">
        <v>11</v>
      </c>
      <c r="C34" s="6" t="s">
        <v>12</v>
      </c>
      <c r="D34" s="6" t="s">
        <v>13</v>
      </c>
      <c r="E34" s="6" t="s">
        <v>14</v>
      </c>
      <c r="F34" s="6" t="s">
        <v>15</v>
      </c>
      <c r="G34" s="6" t="s">
        <v>16</v>
      </c>
      <c r="H34" s="6" t="s">
        <v>17</v>
      </c>
      <c r="I34" s="6" t="s">
        <v>12</v>
      </c>
      <c r="J34" s="35" t="s">
        <v>155</v>
      </c>
      <c r="K34" s="6" t="s">
        <v>11</v>
      </c>
      <c r="L34" s="6" t="s">
        <v>135</v>
      </c>
      <c r="M34" s="6" t="s">
        <v>135</v>
      </c>
      <c r="N34" s="6" t="str">
        <f>+L34</f>
        <v>Interpolation</v>
      </c>
      <c r="O34" s="6" t="str">
        <f>+N34</f>
        <v>Interpolation</v>
      </c>
      <c r="P34" s="6" t="s">
        <v>8</v>
      </c>
      <c r="Q34" s="6" t="s">
        <v>139</v>
      </c>
      <c r="R34" s="6" t="s">
        <v>8</v>
      </c>
      <c r="S34" s="23" t="str">
        <f>+L34</f>
        <v>Interpolation</v>
      </c>
      <c r="T34" s="23" t="str">
        <f>+M34</f>
        <v>Interpolation</v>
      </c>
      <c r="U34" s="23" t="s">
        <v>141</v>
      </c>
      <c r="V34" s="23" t="str">
        <f>+U34</f>
        <v>%Paid</v>
      </c>
      <c r="W34" s="23" t="str">
        <f>+P34</f>
        <v>Weibull</v>
      </c>
      <c r="X34" s="6" t="s">
        <v>8</v>
      </c>
      <c r="Y34" s="45" t="s">
        <v>135</v>
      </c>
      <c r="Z34" s="45" t="s">
        <v>135</v>
      </c>
      <c r="AA34" s="23" t="s">
        <v>141</v>
      </c>
      <c r="AB34" s="23" t="str">
        <f>+AA34</f>
        <v>%Paid</v>
      </c>
      <c r="AC34" s="23" t="s">
        <v>8</v>
      </c>
    </row>
    <row r="36" spans="1:31">
      <c r="A36">
        <v>0</v>
      </c>
      <c r="C36">
        <v>0</v>
      </c>
      <c r="D36">
        <v>0</v>
      </c>
      <c r="H36">
        <f>1-EXP(-G$49*(A36^G$50))</f>
        <v>0</v>
      </c>
      <c r="K36" t="s">
        <v>22</v>
      </c>
      <c r="AD36" s="34">
        <f>+((H37-C37)^2+(H39-C39)^2+(H41-C41)^2+(H43-C43)^2+(H45-C45)^2)*0.2</f>
        <v>1.392317068727639E-4</v>
      </c>
      <c r="AE36" s="34">
        <f>+SQRT(MAX((H37-C37)^2,(H39-C39)^2,(H41-C41)^2,(H43-C43)^2,(H45-C45)^2))</f>
        <v>1.7959208093529022E-2</v>
      </c>
    </row>
    <row r="37" spans="1:31">
      <c r="A37">
        <v>12</v>
      </c>
      <c r="B37" s="11">
        <f>+B14</f>
        <v>2.3580720781101023</v>
      </c>
      <c r="C37">
        <f t="shared" ref="C37:C45" si="21">1/B37</f>
        <v>0.42407524743749936</v>
      </c>
      <c r="D37">
        <f>1-C37</f>
        <v>0.57592475256250064</v>
      </c>
      <c r="E37">
        <f>+LN(D37)</f>
        <v>-0.5517782647324464</v>
      </c>
      <c r="F37">
        <f>+LN(-E37)</f>
        <v>-0.59460900773109759</v>
      </c>
      <c r="G37">
        <f>+LN(A37)</f>
        <v>2.4849066497880004</v>
      </c>
      <c r="H37">
        <f t="shared" ref="H37:H45" si="22">1-EXP(-G$49*(A37^G$50))</f>
        <v>0.42234805357714678</v>
      </c>
      <c r="R37" s="32"/>
      <c r="S37" s="32"/>
      <c r="T37" s="32"/>
      <c r="U37" s="32"/>
      <c r="V37" s="32"/>
      <c r="W37" s="32"/>
      <c r="X37" s="32"/>
      <c r="Y37" s="32"/>
      <c r="Z37" s="32"/>
      <c r="AA37" s="32"/>
      <c r="AB37" s="32"/>
      <c r="AC37" s="32"/>
    </row>
    <row r="38" spans="1:31">
      <c r="A38">
        <f t="shared" ref="A38:A45" si="23">+A37+12</f>
        <v>24</v>
      </c>
      <c r="B38" s="11">
        <f t="shared" ref="B38:B45" si="24">+B15</f>
        <v>1.6455026144452727</v>
      </c>
      <c r="C38">
        <f t="shared" si="21"/>
        <v>0.60771705327075232</v>
      </c>
      <c r="H38">
        <f t="shared" si="22"/>
        <v>0.60956071641899778</v>
      </c>
      <c r="I38">
        <f>+C37+(C39-C37)*(H38-H37)/(H39-H37)</f>
        <v>0.59908673340212748</v>
      </c>
      <c r="J38" s="11">
        <f>+B38</f>
        <v>1.6455026144452727</v>
      </c>
      <c r="K38">
        <f t="shared" ref="K38" si="25">1/I38</f>
        <v>1.669207385583626</v>
      </c>
      <c r="L38">
        <f>+SQRT(B37*B39)</f>
        <v>1.8269924857238515</v>
      </c>
      <c r="M38">
        <f>0.5*(B37+B39)</f>
        <v>1.8867967504168957</v>
      </c>
      <c r="N38">
        <f>2/(C37+C39)</f>
        <v>1.7690837882532362</v>
      </c>
      <c r="O38">
        <f>1/SQRT(C37*C38)</f>
        <v>1.9698258221428033</v>
      </c>
      <c r="P38">
        <f>1/H38</f>
        <v>1.6405256655558875</v>
      </c>
      <c r="Q38">
        <f>+IF(H38&gt;C39,1,IF(H38&lt;C37,1,0))</f>
        <v>0</v>
      </c>
      <c r="R38" s="32">
        <f>+((K38-$B38)/$B38)^2</f>
        <v>2.075268911086911E-4</v>
      </c>
      <c r="S38" s="32">
        <f t="shared" ref="S38" si="26">+((L38-$B38)/$B38)^2</f>
        <v>1.2164874474045097E-2</v>
      </c>
      <c r="T38" s="32">
        <f t="shared" ref="T38" si="27">+((M38-$B38)/$B38)^2</f>
        <v>2.1502867655496253E-2</v>
      </c>
      <c r="U38" s="32">
        <f t="shared" ref="U38" si="28">+((N38-$B38)/$B38)^2</f>
        <v>5.6403685010014528E-3</v>
      </c>
      <c r="V38" s="32">
        <f t="shared" ref="V38" si="29">+((O38-$B38)/$B38)^2</f>
        <v>3.884712653058784E-2</v>
      </c>
      <c r="W38" s="32">
        <f t="shared" ref="W38" si="30">+((P38-$B38)/$B38)^2</f>
        <v>9.1480642948561648E-6</v>
      </c>
      <c r="X38" s="32">
        <f>+((K38-$B38)/($B38-1))^2</f>
        <v>1.3485762972804012E-3</v>
      </c>
      <c r="Y38" s="32">
        <f t="shared" ref="Y38" si="31">+((L38-$B38)/($B38-1))^2</f>
        <v>7.9051255899633938E-2</v>
      </c>
      <c r="Z38" s="32">
        <f t="shared" ref="Z38" si="32">+((M38-$B38)/($B38-1))^2</f>
        <v>0.13973253051129628</v>
      </c>
      <c r="AA38" s="32">
        <f t="shared" ref="AA38" si="33">+((N38-$B38)/($B38-1))^2</f>
        <v>3.6652923521095393E-2</v>
      </c>
      <c r="AB38" s="32">
        <f t="shared" ref="AB38" si="34">+((O38-$B38)/($B38-1))^2</f>
        <v>0.25244108740185045</v>
      </c>
      <c r="AC38" s="32">
        <f t="shared" ref="AC38" si="35">+((P38-$B38)/($B38-1))^2</f>
        <v>5.9447055791814502E-5</v>
      </c>
    </row>
    <row r="39" spans="1:31">
      <c r="A39">
        <f t="shared" si="23"/>
        <v>36</v>
      </c>
      <c r="B39" s="11">
        <f t="shared" si="24"/>
        <v>1.415521422723689</v>
      </c>
      <c r="C39">
        <f t="shared" si="21"/>
        <v>0.70645345520510772</v>
      </c>
      <c r="D39">
        <f>1-C39</f>
        <v>0.29354654479489228</v>
      </c>
      <c r="E39">
        <f>+LN(D39)</f>
        <v>-1.2257190669554798</v>
      </c>
      <c r="F39">
        <f>+LN(-E39)</f>
        <v>0.20352766521647858</v>
      </c>
      <c r="G39">
        <f>+LN(A39)</f>
        <v>3.5835189384561099</v>
      </c>
      <c r="H39">
        <f t="shared" si="22"/>
        <v>0.72441266329863674</v>
      </c>
      <c r="R39" s="32"/>
      <c r="S39" s="32"/>
      <c r="T39" s="32"/>
      <c r="U39" s="32"/>
      <c r="V39" s="32"/>
      <c r="W39" s="32"/>
      <c r="X39" s="32"/>
      <c r="Y39" s="32"/>
      <c r="Z39" s="32"/>
      <c r="AA39" s="32"/>
      <c r="AB39" s="32"/>
      <c r="AC39" s="32"/>
    </row>
    <row r="40" spans="1:31">
      <c r="A40">
        <f t="shared" si="23"/>
        <v>48</v>
      </c>
      <c r="B40" s="11">
        <f t="shared" si="24"/>
        <v>1.2577215813230662</v>
      </c>
      <c r="C40">
        <f t="shared" si="21"/>
        <v>0.7950885274211843</v>
      </c>
      <c r="H40">
        <f t="shared" si="22"/>
        <v>0.80046394917102792</v>
      </c>
      <c r="I40">
        <f>+C39+(C41-C39)*(H40-H39)/(H41-H39)</f>
        <v>0.80212327173580034</v>
      </c>
      <c r="J40" s="11">
        <f>+B40</f>
        <v>1.2577215813230662</v>
      </c>
      <c r="K40">
        <f t="shared" ref="K40" si="36">1/I40</f>
        <v>1.246691169844746</v>
      </c>
      <c r="L40">
        <f>+SQRT(B39*B41)</f>
        <v>1.2769141103099</v>
      </c>
      <c r="M40">
        <f>0.5*(B39+B41)</f>
        <v>1.2837002976279299</v>
      </c>
      <c r="N40">
        <f>2/(C39+C41)</f>
        <v>1.2701637976725888</v>
      </c>
      <c r="O40">
        <f>1/SQRT(C39*C40)</f>
        <v>1.3342907637335704</v>
      </c>
      <c r="P40">
        <f>1/H40</f>
        <v>1.2492754995844779</v>
      </c>
      <c r="Q40">
        <f>+IF(H40&gt;C41,1,IF(H40&lt;C39,1,0))</f>
        <v>0</v>
      </c>
      <c r="R40" s="32">
        <f>+((K40-$B40)/$B40)^2</f>
        <v>7.6915594503442831E-5</v>
      </c>
      <c r="S40" s="32">
        <f t="shared" ref="S40" si="37">+((L40-$B40)/$B40)^2</f>
        <v>2.3286026334369677E-4</v>
      </c>
      <c r="T40" s="32">
        <f t="shared" ref="T40" si="38">+((M40-$B40)/$B40)^2</f>
        <v>4.2664469366030948E-4</v>
      </c>
      <c r="U40" s="32">
        <f t="shared" ref="U40" si="39">+((N40-$B40)/$B40)^2</f>
        <v>9.7864790633510535E-5</v>
      </c>
      <c r="V40" s="32">
        <f t="shared" ref="V40" si="40">+((O40-$B40)/$B40)^2</f>
        <v>3.7062865492939498E-3</v>
      </c>
      <c r="W40" s="32">
        <f t="shared" ref="W40" si="41">+((P40-$B40)/$B40)^2</f>
        <v>4.5096364700189437E-5</v>
      </c>
      <c r="X40" s="32">
        <f>+((K40-$B40)/($B40-1))^2</f>
        <v>1.8318160187050527E-3</v>
      </c>
      <c r="Y40" s="32">
        <f t="shared" ref="Y40" si="42">+((L40-$B40)/($B40-1))^2</f>
        <v>5.5457825330046369E-3</v>
      </c>
      <c r="Z40" s="32">
        <f t="shared" ref="Z40" si="43">+((M40-$B40)/($B40-1))^2</f>
        <v>1.016093796307435E-2</v>
      </c>
      <c r="AA40" s="32">
        <f t="shared" ref="AA40" si="44">+((N40-$B40)/($B40-1))^2</f>
        <v>2.3307404994660275E-3</v>
      </c>
      <c r="AB40" s="32">
        <f t="shared" ref="AB40" si="45">+((O40-$B40)/($B40-1))^2</f>
        <v>8.8268641941054438E-2</v>
      </c>
      <c r="AC40" s="32">
        <f t="shared" ref="AC40" si="46">+((P40-$B40)/($B40-1))^2</f>
        <v>1.0740116328357113E-3</v>
      </c>
    </row>
    <row r="41" spans="1:31">
      <c r="A41">
        <f t="shared" si="23"/>
        <v>60</v>
      </c>
      <c r="B41" s="11">
        <f t="shared" si="24"/>
        <v>1.1518791725321706</v>
      </c>
      <c r="C41">
        <f t="shared" si="21"/>
        <v>0.86814661107354218</v>
      </c>
      <c r="D41">
        <f>1-C41</f>
        <v>0.13185338892645782</v>
      </c>
      <c r="E41">
        <f>+LN(D41)</f>
        <v>-2.0260646636200357</v>
      </c>
      <c r="F41">
        <f>+LN(-E41)</f>
        <v>0.70609532220760063</v>
      </c>
      <c r="G41">
        <f>+LN(A41)</f>
        <v>4.0943445622221004</v>
      </c>
      <c r="H41">
        <f t="shared" si="22"/>
        <v>0.85294821261281695</v>
      </c>
    </row>
    <row r="42" spans="1:31">
      <c r="A42">
        <f t="shared" si="23"/>
        <v>72</v>
      </c>
      <c r="B42" s="11">
        <f t="shared" si="24"/>
        <v>1.1066270527328745</v>
      </c>
      <c r="C42">
        <f t="shared" si="21"/>
        <v>0.9036468045223065</v>
      </c>
      <c r="H42">
        <f t="shared" si="22"/>
        <v>0.8901652984122197</v>
      </c>
      <c r="I42">
        <f>+C41+(C43-C41)*(H42-H41)/(H43-H41)</f>
        <v>0.90147635304414464</v>
      </c>
      <c r="J42" s="11">
        <f>+B42</f>
        <v>1.1066270527328745</v>
      </c>
      <c r="K42">
        <f t="shared" ref="K42" si="47">1/I42</f>
        <v>1.1092914380096122</v>
      </c>
      <c r="L42">
        <f>+SQRT(B41*B43)</f>
        <v>1.1155685690608228</v>
      </c>
      <c r="M42">
        <f>0.5*(B41+B43)</f>
        <v>1.1161408773184482</v>
      </c>
      <c r="N42">
        <f>2/(C41+C43)</f>
        <v>1.1149965542578577</v>
      </c>
      <c r="O42">
        <f>1/SQRT(C41*C42)</f>
        <v>1.1290264185587768</v>
      </c>
      <c r="P42">
        <f>1/H42</f>
        <v>1.123386860601836</v>
      </c>
      <c r="Q42">
        <f>+IF(H42&gt;C43,1,IF(H42&lt;C41,1,0))</f>
        <v>0</v>
      </c>
      <c r="R42" s="32">
        <f>+((K42-$B42)/$B42)^2</f>
        <v>5.7968422837009675E-6</v>
      </c>
      <c r="S42" s="32">
        <f t="shared" ref="S42" si="48">+((L42-$B42)/$B42)^2</f>
        <v>6.5285958143272726E-5</v>
      </c>
      <c r="T42" s="32">
        <f t="shared" ref="T42" si="49">+((M42-$B42)/$B42)^2</f>
        <v>7.3910767786984898E-5</v>
      </c>
      <c r="U42" s="32">
        <f t="shared" ref="U42" si="50">+((N42-$B42)/$B42)^2</f>
        <v>5.7200077869678758E-5</v>
      </c>
      <c r="V42" s="32">
        <f t="shared" ref="V42" si="51">+((O42-$B42)/$B42)^2</f>
        <v>4.0970275068903379E-4</v>
      </c>
      <c r="W42" s="32">
        <f t="shared" ref="W42" si="52">+((P42-$B42)/$B42)^2</f>
        <v>2.2936941433797934E-4</v>
      </c>
      <c r="X42" s="32">
        <f>+((K42-$B42)/($B42-1))^2</f>
        <v>6.2439474602728401E-4</v>
      </c>
      <c r="Y42" s="32">
        <f t="shared" ref="Y42" si="53">+((L42-$B42)/($B42-1))^2</f>
        <v>7.0321404756230393E-3</v>
      </c>
      <c r="Z42" s="32">
        <f t="shared" ref="Z42" si="54">+((M42-$B42)/($B42-1))^2</f>
        <v>7.9611438128642797E-3</v>
      </c>
      <c r="AA42" s="32">
        <f t="shared" ref="AA42" si="55">+((N42-$B42)/($B42-1))^2</f>
        <v>6.1611867886418635E-3</v>
      </c>
      <c r="AB42" s="32">
        <f t="shared" ref="AB42" si="56">+((O42-$B42)/($B42-1))^2</f>
        <v>4.4130275146943294E-2</v>
      </c>
      <c r="AC42" s="32">
        <f t="shared" ref="AC42" si="57">+((P42-$B42)/($B42-1))^2</f>
        <v>2.4706046879121438E-2</v>
      </c>
    </row>
    <row r="43" spans="1:31">
      <c r="A43">
        <f t="shared" si="23"/>
        <v>84</v>
      </c>
      <c r="B43" s="11">
        <f t="shared" si="24"/>
        <v>1.0804025821047256</v>
      </c>
      <c r="C43">
        <f t="shared" si="21"/>
        <v>0.92558090526950254</v>
      </c>
      <c r="D43">
        <f>1-C43</f>
        <v>7.4419094730497459E-2</v>
      </c>
      <c r="E43">
        <f>+LN(D43)</f>
        <v>-2.5980427204685057</v>
      </c>
      <c r="F43">
        <f>+LN(-E43)</f>
        <v>0.95475836171156037</v>
      </c>
      <c r="G43">
        <f>+LN(A43)</f>
        <v>4.4308167988433134</v>
      </c>
      <c r="H43">
        <f t="shared" si="22"/>
        <v>0.91708123400867858</v>
      </c>
    </row>
    <row r="44" spans="1:31">
      <c r="A44">
        <f t="shared" si="23"/>
        <v>96</v>
      </c>
      <c r="B44" s="11">
        <f t="shared" si="24"/>
        <v>1.0657461824654497</v>
      </c>
      <c r="C44">
        <f t="shared" si="21"/>
        <v>0.9383097180668708</v>
      </c>
      <c r="H44">
        <f t="shared" si="22"/>
        <v>0.93684529456292143</v>
      </c>
      <c r="I44">
        <f>+C43+(C45-C43)*(H44-H43)/(H45-H43)</f>
        <v>0.93575991978964035</v>
      </c>
      <c r="J44" s="11">
        <f>+B44</f>
        <v>1.0657461824654497</v>
      </c>
      <c r="K44">
        <f t="shared" ref="K44" si="58">1/I44</f>
        <v>1.0686501728186872</v>
      </c>
      <c r="L44">
        <f>+SQRT(B43*B45)</f>
        <v>1.0701923911113105</v>
      </c>
      <c r="M44">
        <f>0.5*(B43+B45)</f>
        <v>1.0702406360904733</v>
      </c>
      <c r="N44">
        <f>2/(C43+C45)</f>
        <v>1.0701441483069651</v>
      </c>
      <c r="O44">
        <f>1/SQRT(C43*C44)</f>
        <v>1.0730493592579635</v>
      </c>
      <c r="P44">
        <f>1/H44</f>
        <v>1.0674120965367531</v>
      </c>
      <c r="Q44">
        <f>+IF(H44&gt;C45,1,IF(H44&lt;C43,1,0))</f>
        <v>0</v>
      </c>
      <c r="R44" s="32">
        <f>+((K44-$B44)/$B44)^2</f>
        <v>7.4247659392502201E-6</v>
      </c>
      <c r="S44" s="32">
        <f t="shared" ref="S44" si="59">+((L44-$B44)/$B44)^2</f>
        <v>1.7404923002640052E-5</v>
      </c>
      <c r="T44" s="32">
        <f t="shared" ref="T44" si="60">+((M44-$B44)/$B44)^2</f>
        <v>1.778468739497123E-5</v>
      </c>
      <c r="U44" s="32">
        <f t="shared" ref="U44" si="61">+((N44-$B44)/$B44)^2</f>
        <v>1.7029273968775308E-5</v>
      </c>
      <c r="V44" s="32">
        <f t="shared" ref="V44" si="62">+((O44-$B44)/$B44)^2</f>
        <v>4.6958699052194047E-5</v>
      </c>
      <c r="W44" s="32">
        <f t="shared" ref="W44" si="63">+((P44-$B44)/$B44)^2</f>
        <v>2.4434171719412454E-6</v>
      </c>
      <c r="X44" s="32">
        <f>+((K44-$B44)/($B44-1))^2</f>
        <v>1.9509640072282836E-3</v>
      </c>
      <c r="Y44" s="32">
        <f t="shared" ref="Y44" si="64">+((L44-$B44)/($B44-1))^2</f>
        <v>4.5733937749099472E-3</v>
      </c>
      <c r="Z44" s="32">
        <f t="shared" ref="Z44" si="65">+((M44-$B44)/($B44-1))^2</f>
        <v>4.6731823294215886E-3</v>
      </c>
      <c r="AA44" s="32">
        <f t="shared" ref="AA44" si="66">+((N44-$B44)/($B44-1))^2</f>
        <v>4.4746865900078727E-3</v>
      </c>
      <c r="AB44" s="32">
        <f t="shared" ref="AB44" si="67">+((O44-$B44)/($B44-1))^2</f>
        <v>1.2339073369678114E-2</v>
      </c>
      <c r="AC44" s="32">
        <f t="shared" ref="AC44" si="68">+((P44-$B44)/($B44-1))^2</f>
        <v>6.420429945004141E-4</v>
      </c>
    </row>
    <row r="45" spans="1:31">
      <c r="A45">
        <f t="shared" si="23"/>
        <v>108</v>
      </c>
      <c r="B45" s="11">
        <f t="shared" si="24"/>
        <v>1.0600786900762207</v>
      </c>
      <c r="C45">
        <f t="shared" si="21"/>
        <v>0.94332619772603765</v>
      </c>
      <c r="D45">
        <f>1-C45</f>
        <v>5.6673802273962348E-2</v>
      </c>
      <c r="E45">
        <f>+LN(D45)</f>
        <v>-2.8704432160458668</v>
      </c>
      <c r="F45">
        <f>+LN(-E45)</f>
        <v>1.0544664485263424</v>
      </c>
      <c r="G45">
        <f>+LN(A45)</f>
        <v>4.6821312271242199</v>
      </c>
      <c r="H45">
        <f t="shared" si="22"/>
        <v>0.95153634103007623</v>
      </c>
      <c r="R45" s="32"/>
      <c r="S45" s="32"/>
      <c r="T45" s="32"/>
      <c r="U45" s="32"/>
      <c r="V45" s="32"/>
      <c r="W45" s="32"/>
      <c r="X45" s="32"/>
      <c r="Y45" s="32"/>
      <c r="Z45" s="32"/>
      <c r="AA45" s="32"/>
      <c r="AB45" s="32"/>
      <c r="AC45" s="32"/>
    </row>
    <row r="47" spans="1:31">
      <c r="E47" t="s">
        <v>37</v>
      </c>
    </row>
    <row r="48" spans="1:31">
      <c r="E48" s="90" t="s">
        <v>203</v>
      </c>
      <c r="G48">
        <f>+INTERCEPT(F37:F45,G37:G45)</f>
        <v>-2.5312302329555219</v>
      </c>
      <c r="Q48" s="33"/>
      <c r="R48" s="33"/>
      <c r="S48" s="33"/>
      <c r="T48" s="33"/>
      <c r="U48" s="33"/>
      <c r="V48" s="33"/>
    </row>
    <row r="49" spans="1:7">
      <c r="E49" s="63" t="s">
        <v>38</v>
      </c>
      <c r="G49">
        <f>+EXP(G48)</f>
        <v>7.9561081390118665E-2</v>
      </c>
    </row>
    <row r="50" spans="1:7">
      <c r="E50" s="19" t="s">
        <v>39</v>
      </c>
      <c r="G50">
        <f>+SLOPE(F37:F45,G37:G45)</f>
        <v>0.77716377763933764</v>
      </c>
    </row>
    <row r="53" spans="1:7">
      <c r="A53" s="51" t="s">
        <v>204</v>
      </c>
      <c r="B53" s="51" t="s">
        <v>206</v>
      </c>
      <c r="C53" s="51" t="s">
        <v>207</v>
      </c>
    </row>
    <row r="54" spans="1:7">
      <c r="C54" s="51" t="s">
        <v>208</v>
      </c>
    </row>
    <row r="55" spans="1:7">
      <c r="C55" s="51" t="s">
        <v>209</v>
      </c>
    </row>
    <row r="57" spans="1:7">
      <c r="B57" s="51" t="s">
        <v>40</v>
      </c>
      <c r="C57" s="51" t="s">
        <v>210</v>
      </c>
    </row>
    <row r="58" spans="1:7">
      <c r="C58" s="51" t="s">
        <v>211</v>
      </c>
    </row>
    <row r="59" spans="1:7">
      <c r="C59" t="s">
        <v>205</v>
      </c>
    </row>
    <row r="61" spans="1:7">
      <c r="B61" s="51" t="s">
        <v>41</v>
      </c>
      <c r="C61" s="51" t="s">
        <v>212</v>
      </c>
    </row>
    <row r="63" spans="1:7">
      <c r="B63" s="51" t="s">
        <v>42</v>
      </c>
      <c r="C63" s="51" t="s">
        <v>213</v>
      </c>
    </row>
    <row r="64" spans="1:7">
      <c r="C64" s="51" t="s">
        <v>215</v>
      </c>
    </row>
    <row r="65" spans="2:3">
      <c r="C65" s="51" t="s">
        <v>217</v>
      </c>
    </row>
    <row r="67" spans="2:3">
      <c r="B67" s="51" t="s">
        <v>214</v>
      </c>
      <c r="C67" s="51" t="s">
        <v>216</v>
      </c>
    </row>
    <row r="69" spans="2:3">
      <c r="B69" s="51" t="s">
        <v>202</v>
      </c>
      <c r="C69" s="51" t="s">
        <v>218</v>
      </c>
    </row>
    <row r="72" spans="2:3">
      <c r="B72" s="51" t="s">
        <v>219</v>
      </c>
      <c r="C72" s="51"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K102"/>
  <sheetViews>
    <sheetView topLeftCell="A22" workbookViewId="0">
      <selection activeCell="B59" sqref="B59"/>
    </sheetView>
  </sheetViews>
  <sheetFormatPr defaultRowHeight="12.75"/>
  <cols>
    <col min="1" max="1" width="24.42578125" customWidth="1"/>
    <col min="2" max="2" width="13.5703125" customWidth="1"/>
    <col min="3" max="3" width="12.28515625" customWidth="1"/>
    <col min="4" max="4" width="11.85546875" customWidth="1"/>
    <col min="5" max="6" width="12" customWidth="1"/>
    <col min="7" max="7" width="11.140625" customWidth="1"/>
    <col min="8" max="8" width="11.42578125" customWidth="1"/>
    <col min="9" max="9" width="11.140625" customWidth="1"/>
    <col min="10" max="11" width="10.42578125" customWidth="1"/>
  </cols>
  <sheetData>
    <row r="1" spans="1:11">
      <c r="K1" s="2" t="str">
        <f>+Input!$B$1</f>
        <v>Development of NAIC Data</v>
      </c>
    </row>
    <row r="2" spans="1:11" ht="15.75">
      <c r="A2" s="3" t="str">
        <f>+'Paid Tria'!A2</f>
        <v>Selected Small Company Number 2 CMP</v>
      </c>
      <c r="B2" s="22"/>
      <c r="C2" s="3"/>
      <c r="D2" s="3"/>
      <c r="E2" s="3"/>
      <c r="F2" s="3"/>
      <c r="G2" s="3"/>
      <c r="H2" s="3"/>
      <c r="I2" s="22"/>
      <c r="J2" s="22"/>
      <c r="K2" s="22"/>
    </row>
    <row r="3" spans="1:11">
      <c r="A3" s="4"/>
      <c r="B3" s="5"/>
      <c r="C3" s="5"/>
      <c r="D3" s="5"/>
      <c r="E3" s="5"/>
      <c r="F3" s="5"/>
      <c r="G3" s="5"/>
      <c r="H3" s="5"/>
      <c r="K3" s="2" t="s">
        <v>29</v>
      </c>
    </row>
    <row r="4" spans="1:11">
      <c r="A4" s="4"/>
      <c r="B4" s="4"/>
      <c r="C4" s="4"/>
      <c r="D4" s="4"/>
      <c r="E4" s="4"/>
      <c r="F4" s="4"/>
      <c r="H4" s="4"/>
      <c r="K4" s="2"/>
    </row>
    <row r="5" spans="1:11">
      <c r="A5" s="4" t="s">
        <v>1</v>
      </c>
      <c r="B5" s="4"/>
      <c r="C5" s="4"/>
      <c r="D5" s="4"/>
      <c r="E5" s="4"/>
      <c r="F5" s="4"/>
      <c r="H5" s="4"/>
    </row>
    <row r="7" spans="1:11">
      <c r="B7" s="7"/>
      <c r="C7" s="7"/>
      <c r="D7" s="7"/>
    </row>
    <row r="8" spans="1:11">
      <c r="B8" s="7" t="s">
        <v>3</v>
      </c>
      <c r="C8" s="7" t="s">
        <v>30</v>
      </c>
      <c r="D8" s="7"/>
    </row>
    <row r="10" spans="1:11">
      <c r="C10" t="s">
        <v>9</v>
      </c>
    </row>
    <row r="11" spans="1:11">
      <c r="A11" t="s">
        <v>19</v>
      </c>
    </row>
    <row r="12" spans="1:11">
      <c r="A12" t="s">
        <v>21</v>
      </c>
      <c r="B12">
        <v>12</v>
      </c>
      <c r="C12">
        <f t="shared" ref="C12:K12" si="0">+B12+12</f>
        <v>24</v>
      </c>
      <c r="D12">
        <f t="shared" si="0"/>
        <v>36</v>
      </c>
      <c r="E12">
        <f t="shared" si="0"/>
        <v>48</v>
      </c>
      <c r="F12">
        <f t="shared" si="0"/>
        <v>60</v>
      </c>
      <c r="G12">
        <f t="shared" si="0"/>
        <v>72</v>
      </c>
      <c r="H12">
        <f t="shared" si="0"/>
        <v>84</v>
      </c>
      <c r="I12">
        <f t="shared" si="0"/>
        <v>96</v>
      </c>
      <c r="J12">
        <f t="shared" si="0"/>
        <v>108</v>
      </c>
      <c r="K12">
        <f t="shared" si="0"/>
        <v>120</v>
      </c>
    </row>
    <row r="14" spans="1:11">
      <c r="A14">
        <f>+'Paid Tria'!A14</f>
        <v>1994</v>
      </c>
      <c r="B14" s="9">
        <f>+Input!C5-Input!AC5</f>
        <v>4872</v>
      </c>
      <c r="C14" s="9">
        <f>+Input!D5-Input!AD5</f>
        <v>5578</v>
      </c>
      <c r="D14" s="9">
        <f>+Input!E5-Input!AE5</f>
        <v>5927</v>
      </c>
      <c r="E14" s="9">
        <f>+Input!F5-Input!AF5</f>
        <v>6133</v>
      </c>
      <c r="F14" s="9">
        <f>+Input!G5-Input!AG5</f>
        <v>6198</v>
      </c>
      <c r="G14" s="9">
        <f>+Input!H5-Input!AH5</f>
        <v>6305</v>
      </c>
      <c r="H14" s="9">
        <f>+Input!I5-Input!AI5</f>
        <v>6351</v>
      </c>
      <c r="I14" s="9">
        <f>+Input!J5-Input!AJ5</f>
        <v>6453</v>
      </c>
      <c r="J14" s="9">
        <f>+Input!K5-Input!AK5</f>
        <v>6502</v>
      </c>
      <c r="K14" s="9">
        <f>+Input!L5-Input!AL5</f>
        <v>6534</v>
      </c>
    </row>
    <row r="15" spans="1:11">
      <c r="A15">
        <f t="shared" ref="A15:A23" si="1">+A14+1</f>
        <v>1995</v>
      </c>
      <c r="B15" s="9">
        <f>+Input!D6-Input!AD6</f>
        <v>5031</v>
      </c>
      <c r="C15" s="9">
        <f>+Input!E6-Input!AE6</f>
        <v>5277</v>
      </c>
      <c r="D15" s="9">
        <f>+Input!F6-Input!AF6</f>
        <v>5708</v>
      </c>
      <c r="E15" s="9">
        <f>+Input!G6-Input!AG6</f>
        <v>5944</v>
      </c>
      <c r="F15" s="9">
        <f>+Input!H6-Input!AH6</f>
        <v>6063</v>
      </c>
      <c r="G15" s="9">
        <f>+Input!I6-Input!AI6</f>
        <v>6066</v>
      </c>
      <c r="H15" s="9">
        <f>+Input!J6-Input!AJ6</f>
        <v>6051</v>
      </c>
      <c r="I15" s="9">
        <f>+Input!K6-Input!AK6</f>
        <v>6066</v>
      </c>
      <c r="J15" s="9">
        <f>+Input!L6-Input!AL6</f>
        <v>6110</v>
      </c>
      <c r="K15" s="9"/>
    </row>
    <row r="16" spans="1:11">
      <c r="A16">
        <f t="shared" si="1"/>
        <v>1996</v>
      </c>
      <c r="B16" s="9">
        <f>+Input!E7-Input!AE7</f>
        <v>4900</v>
      </c>
      <c r="C16" s="9">
        <f>+Input!F7-Input!AF7</f>
        <v>5714</v>
      </c>
      <c r="D16" s="9">
        <f>+Input!G7-Input!AG7</f>
        <v>6165</v>
      </c>
      <c r="E16" s="9">
        <f>+Input!H7-Input!AH7</f>
        <v>6296</v>
      </c>
      <c r="F16" s="9">
        <f>+Input!I7-Input!AI7</f>
        <v>6269</v>
      </c>
      <c r="G16" s="9">
        <f>+Input!J7-Input!AJ7</f>
        <v>6317</v>
      </c>
      <c r="H16" s="9">
        <f>+Input!K7-Input!AK7</f>
        <v>6339</v>
      </c>
      <c r="I16" s="9">
        <f>+Input!L7-Input!AL7</f>
        <v>6367</v>
      </c>
      <c r="J16" s="9"/>
      <c r="K16" s="9"/>
    </row>
    <row r="17" spans="1:11">
      <c r="A17">
        <f t="shared" si="1"/>
        <v>1997</v>
      </c>
      <c r="B17" s="9">
        <f>+Input!F8-Input!AF8</f>
        <v>4511</v>
      </c>
      <c r="C17" s="9">
        <f>+Input!G8-Input!AG8</f>
        <v>5123</v>
      </c>
      <c r="D17" s="9">
        <f>+Input!H8-Input!AH8</f>
        <v>5692</v>
      </c>
      <c r="E17" s="9">
        <f>+Input!I8-Input!AI8</f>
        <v>5863</v>
      </c>
      <c r="F17" s="9">
        <f>+Input!J8-Input!AJ8</f>
        <v>5878</v>
      </c>
      <c r="G17" s="9">
        <f>+Input!K8-Input!AK8</f>
        <v>5925</v>
      </c>
      <c r="H17" s="9">
        <f>+Input!L8-Input!AL8</f>
        <v>6049</v>
      </c>
      <c r="I17" s="9"/>
      <c r="J17" s="9"/>
      <c r="K17" s="9"/>
    </row>
    <row r="18" spans="1:11">
      <c r="A18">
        <f t="shared" si="1"/>
        <v>1998</v>
      </c>
      <c r="B18" s="9">
        <f>+Input!G9-Input!AG9</f>
        <v>5088</v>
      </c>
      <c r="C18" s="9">
        <f>+Input!H9-Input!AH9</f>
        <v>5713</v>
      </c>
      <c r="D18" s="9">
        <f>+Input!I9-Input!AI9</f>
        <v>6167</v>
      </c>
      <c r="E18" s="9">
        <f>+Input!J9-Input!AJ9</f>
        <v>6160</v>
      </c>
      <c r="F18" s="9">
        <f>+Input!K9-Input!AK9</f>
        <v>6329</v>
      </c>
      <c r="G18" s="9">
        <f>+Input!L9-Input!AL9</f>
        <v>6504</v>
      </c>
      <c r="H18" s="9"/>
      <c r="I18" s="9"/>
      <c r="J18" s="9"/>
      <c r="K18" s="9"/>
    </row>
    <row r="19" spans="1:11">
      <c r="A19">
        <f t="shared" si="1"/>
        <v>1999</v>
      </c>
      <c r="B19" s="9">
        <f>+Input!H10-Input!AH10</f>
        <v>6113</v>
      </c>
      <c r="C19" s="9">
        <f>+Input!I10-Input!AI10</f>
        <v>6636</v>
      </c>
      <c r="D19" s="9">
        <f>+Input!J10-Input!AJ10</f>
        <v>6876</v>
      </c>
      <c r="E19" s="9">
        <f>+Input!K10-Input!AK10</f>
        <v>7044</v>
      </c>
      <c r="F19" s="9">
        <f>+Input!L10-Input!AL10</f>
        <v>7386</v>
      </c>
      <c r="G19" s="9"/>
      <c r="H19" s="9"/>
      <c r="I19" s="9"/>
      <c r="J19" s="9"/>
      <c r="K19" s="9"/>
    </row>
    <row r="20" spans="1:11">
      <c r="A20">
        <f t="shared" si="1"/>
        <v>2000</v>
      </c>
      <c r="B20" s="9">
        <f>+Input!I11-Input!AI11</f>
        <v>6784</v>
      </c>
      <c r="C20" s="9">
        <f>+Input!J11-Input!AJ11</f>
        <v>7273</v>
      </c>
      <c r="D20" s="9">
        <f>+Input!K11-Input!AK11</f>
        <v>7666</v>
      </c>
      <c r="E20" s="9">
        <f>+Input!L11-Input!AL11</f>
        <v>7910</v>
      </c>
      <c r="F20" s="9"/>
      <c r="G20" s="9"/>
      <c r="H20" s="9"/>
      <c r="I20" s="9"/>
      <c r="J20" s="9"/>
      <c r="K20" s="9"/>
    </row>
    <row r="21" spans="1:11">
      <c r="A21">
        <f t="shared" si="1"/>
        <v>2001</v>
      </c>
      <c r="B21" s="9">
        <f>+Input!J12-Input!AJ12</f>
        <v>6343</v>
      </c>
      <c r="C21" s="9">
        <f>+Input!K12-Input!AK12</f>
        <v>6938</v>
      </c>
      <c r="D21" s="9">
        <f>+Input!L12-Input!AL12</f>
        <v>7390</v>
      </c>
      <c r="E21" s="9"/>
      <c r="F21" s="9"/>
      <c r="G21" s="9"/>
      <c r="H21" s="9"/>
      <c r="I21" s="9"/>
      <c r="J21" s="9"/>
      <c r="K21" s="9"/>
    </row>
    <row r="22" spans="1:11">
      <c r="A22">
        <f t="shared" si="1"/>
        <v>2002</v>
      </c>
      <c r="B22" s="9">
        <f>+Input!K13-Input!AK13</f>
        <v>7589</v>
      </c>
      <c r="C22" s="9">
        <f>+Input!L13-Input!AL13</f>
        <v>8580</v>
      </c>
      <c r="D22" s="9"/>
      <c r="E22" s="9"/>
      <c r="F22" s="9"/>
      <c r="G22" s="9"/>
      <c r="H22" s="9"/>
      <c r="I22" s="9"/>
      <c r="J22" s="9"/>
      <c r="K22" s="9"/>
    </row>
    <row r="23" spans="1:11">
      <c r="A23">
        <f t="shared" si="1"/>
        <v>2003</v>
      </c>
      <c r="B23" s="9">
        <f>+Input!L14-Input!AL14</f>
        <v>10174</v>
      </c>
      <c r="C23" s="9"/>
      <c r="D23" s="9"/>
      <c r="E23" s="9"/>
      <c r="F23" s="9"/>
      <c r="G23" s="9"/>
      <c r="H23" s="9"/>
      <c r="I23" s="9"/>
      <c r="J23" s="9"/>
      <c r="K23" s="9"/>
    </row>
    <row r="24" spans="1:11">
      <c r="B24" s="9"/>
      <c r="C24" s="9"/>
      <c r="D24" s="9"/>
      <c r="E24" s="9"/>
      <c r="F24" s="9"/>
      <c r="G24" s="9"/>
      <c r="H24" s="9"/>
      <c r="I24" s="9"/>
      <c r="J24" s="9"/>
      <c r="K24" s="9"/>
    </row>
    <row r="25" spans="1:11">
      <c r="B25" s="9"/>
      <c r="C25" s="9" t="s">
        <v>23</v>
      </c>
      <c r="D25" s="9"/>
      <c r="E25" s="9"/>
      <c r="F25" s="9"/>
      <c r="G25" s="9"/>
      <c r="H25" s="9"/>
      <c r="I25" s="9"/>
      <c r="J25" s="9"/>
      <c r="K25" s="9"/>
    </row>
    <row r="27" spans="1:11">
      <c r="A27" t="s">
        <v>19</v>
      </c>
    </row>
    <row r="28" spans="1:11">
      <c r="A28" t="s">
        <v>21</v>
      </c>
      <c r="B28">
        <v>12</v>
      </c>
      <c r="C28">
        <f t="shared" ref="C28:J28" si="2">+B28+12</f>
        <v>24</v>
      </c>
      <c r="D28">
        <f t="shared" si="2"/>
        <v>36</v>
      </c>
      <c r="E28">
        <f t="shared" si="2"/>
        <v>48</v>
      </c>
      <c r="F28">
        <f t="shared" si="2"/>
        <v>60</v>
      </c>
      <c r="G28">
        <f t="shared" si="2"/>
        <v>72</v>
      </c>
      <c r="H28">
        <f t="shared" si="2"/>
        <v>84</v>
      </c>
      <c r="I28">
        <f t="shared" si="2"/>
        <v>96</v>
      </c>
      <c r="J28">
        <f t="shared" si="2"/>
        <v>108</v>
      </c>
    </row>
    <row r="30" spans="1:11">
      <c r="A30">
        <f>+'Paid Tria'!A14</f>
        <v>1994</v>
      </c>
      <c r="B30" s="12">
        <f t="shared" ref="B30:J30" si="3">+C14/B14</f>
        <v>1.1449096880131362</v>
      </c>
      <c r="C30" s="12">
        <f t="shared" si="3"/>
        <v>1.0625672283972749</v>
      </c>
      <c r="D30" s="12">
        <f t="shared" si="3"/>
        <v>1.0347562004386706</v>
      </c>
      <c r="E30" s="12">
        <f t="shared" si="3"/>
        <v>1.01059840208707</v>
      </c>
      <c r="F30" s="12">
        <f t="shared" si="3"/>
        <v>1.0172636334301388</v>
      </c>
      <c r="G30" s="12">
        <f t="shared" si="3"/>
        <v>1.0072957969865186</v>
      </c>
      <c r="H30" s="12">
        <f t="shared" si="3"/>
        <v>1.0160604629192254</v>
      </c>
      <c r="I30" s="12">
        <f t="shared" si="3"/>
        <v>1.0075933674260034</v>
      </c>
      <c r="J30" s="12">
        <f t="shared" si="3"/>
        <v>1.0049215625961243</v>
      </c>
      <c r="K30" s="9"/>
    </row>
    <row r="31" spans="1:11">
      <c r="A31">
        <f t="shared" ref="A31:A38" si="4">+A30+1</f>
        <v>1995</v>
      </c>
      <c r="B31" s="12">
        <f t="shared" ref="B31:I31" si="5">+C15/B15</f>
        <v>1.048896839594514</v>
      </c>
      <c r="C31" s="12">
        <f t="shared" si="5"/>
        <v>1.0816751942391509</v>
      </c>
      <c r="D31" s="12">
        <f t="shared" si="5"/>
        <v>1.0413454800280308</v>
      </c>
      <c r="E31" s="12">
        <f t="shared" si="5"/>
        <v>1.0200201884253028</v>
      </c>
      <c r="F31" s="12">
        <f t="shared" si="5"/>
        <v>1.000494804552202</v>
      </c>
      <c r="G31" s="12">
        <f t="shared" si="5"/>
        <v>0.99752720079129575</v>
      </c>
      <c r="H31" s="12">
        <f t="shared" si="5"/>
        <v>1.0024789291026277</v>
      </c>
      <c r="I31" s="12">
        <f t="shared" si="5"/>
        <v>1.0072535443455324</v>
      </c>
      <c r="J31" s="9"/>
      <c r="K31" s="9"/>
    </row>
    <row r="32" spans="1:11">
      <c r="A32">
        <f t="shared" si="4"/>
        <v>1996</v>
      </c>
      <c r="B32" s="12">
        <f t="shared" ref="B32:H32" si="6">+C16/B16</f>
        <v>1.1661224489795918</v>
      </c>
      <c r="C32" s="12">
        <f t="shared" si="6"/>
        <v>1.0789289464473224</v>
      </c>
      <c r="D32" s="12">
        <f t="shared" si="6"/>
        <v>1.0212489862124898</v>
      </c>
      <c r="E32" s="12">
        <f t="shared" si="6"/>
        <v>0.99571156289707752</v>
      </c>
      <c r="F32" s="12">
        <f t="shared" si="6"/>
        <v>1.0076567235603764</v>
      </c>
      <c r="G32" s="12">
        <f t="shared" si="6"/>
        <v>1.0034826658223841</v>
      </c>
      <c r="H32" s="12">
        <f t="shared" si="6"/>
        <v>1.0044171004890361</v>
      </c>
      <c r="I32" s="9"/>
      <c r="K32" s="9"/>
    </row>
    <row r="33" spans="1:11">
      <c r="A33">
        <f t="shared" si="4"/>
        <v>1997</v>
      </c>
      <c r="B33" s="12">
        <f t="shared" ref="B33:G33" si="7">+C17/B17</f>
        <v>1.1356683662159166</v>
      </c>
      <c r="C33" s="12">
        <f t="shared" si="7"/>
        <v>1.1110677337497561</v>
      </c>
      <c r="D33" s="12">
        <f t="shared" si="7"/>
        <v>1.0300421644413211</v>
      </c>
      <c r="E33" s="12">
        <f t="shared" si="7"/>
        <v>1.0025584171925634</v>
      </c>
      <c r="F33" s="12">
        <f t="shared" si="7"/>
        <v>1.0079959169785642</v>
      </c>
      <c r="G33" s="12">
        <f t="shared" si="7"/>
        <v>1.020928270042194</v>
      </c>
      <c r="H33" s="9"/>
      <c r="J33" s="9"/>
      <c r="K33" s="9"/>
    </row>
    <row r="34" spans="1:11">
      <c r="A34">
        <f t="shared" si="4"/>
        <v>1998</v>
      </c>
      <c r="B34" s="12">
        <f>+C18/B18</f>
        <v>1.1228380503144655</v>
      </c>
      <c r="C34" s="12">
        <f>+D18/C18</f>
        <v>1.0794678802730615</v>
      </c>
      <c r="D34" s="12">
        <f>+E18/D18</f>
        <v>0.99886492622020429</v>
      </c>
      <c r="E34" s="12">
        <f>+F18/E18</f>
        <v>1.027435064935065</v>
      </c>
      <c r="F34" s="12">
        <f>+G18/F18</f>
        <v>1.0276504977089587</v>
      </c>
      <c r="G34" s="9"/>
      <c r="I34" s="9"/>
      <c r="J34" s="9"/>
      <c r="K34" s="9"/>
    </row>
    <row r="35" spans="1:11">
      <c r="A35">
        <f t="shared" si="4"/>
        <v>1999</v>
      </c>
      <c r="B35" s="12">
        <f>+C19/B19</f>
        <v>1.0855553737935548</v>
      </c>
      <c r="C35" s="12">
        <f>+D19/C19</f>
        <v>1.0361663652802893</v>
      </c>
      <c r="D35" s="12">
        <f>+E19/D19</f>
        <v>1.0244328097731239</v>
      </c>
      <c r="E35" s="12">
        <f>+F19/E19</f>
        <v>1.0485519591141397</v>
      </c>
      <c r="F35" s="9"/>
      <c r="H35" s="9"/>
      <c r="K35" s="9"/>
    </row>
    <row r="36" spans="1:11">
      <c r="A36">
        <f t="shared" si="4"/>
        <v>2000</v>
      </c>
      <c r="B36" s="12">
        <f>+C20/B20</f>
        <v>1.0720813679245282</v>
      </c>
      <c r="C36" s="12">
        <f>+D20/C20</f>
        <v>1.0540354736697375</v>
      </c>
      <c r="D36" s="12">
        <f>+E20/D20</f>
        <v>1.0318288546830159</v>
      </c>
      <c r="E36" s="9"/>
      <c r="G36" s="9"/>
      <c r="I36" s="11"/>
      <c r="J36" s="9"/>
      <c r="K36" s="9"/>
    </row>
    <row r="37" spans="1:11">
      <c r="A37">
        <f t="shared" si="4"/>
        <v>2001</v>
      </c>
      <c r="B37" s="12">
        <f>+C21/B21</f>
        <v>1.0938041935992433</v>
      </c>
      <c r="C37" s="12">
        <f>+D21/C21</f>
        <v>1.0651484577688095</v>
      </c>
      <c r="D37" s="9"/>
      <c r="F37" s="9"/>
      <c r="H37" s="9"/>
      <c r="I37" s="9"/>
      <c r="J37" s="9"/>
      <c r="K37" s="9"/>
    </row>
    <row r="38" spans="1:11">
      <c r="A38">
        <f t="shared" si="4"/>
        <v>2002</v>
      </c>
      <c r="B38" s="12">
        <f>+C22/B22</f>
        <v>1.1305837396231389</v>
      </c>
      <c r="C38" s="9"/>
      <c r="E38" s="9"/>
      <c r="G38" s="9"/>
      <c r="H38" s="9"/>
      <c r="I38" s="9"/>
      <c r="J38" s="9"/>
      <c r="K38" s="9"/>
    </row>
    <row r="39" spans="1:11">
      <c r="B39" s="9"/>
      <c r="D39" s="9"/>
      <c r="F39" s="9"/>
      <c r="G39" s="9"/>
      <c r="H39" s="9"/>
      <c r="I39" s="9"/>
      <c r="J39" s="9"/>
      <c r="K39" s="9"/>
    </row>
    <row r="41" spans="1:11">
      <c r="A41" t="s">
        <v>24</v>
      </c>
      <c r="B41" s="11">
        <f>+SUM(C14:C22)/SUM(B14:B22)</f>
        <v>1.1093283363588453</v>
      </c>
      <c r="C41" s="11">
        <f>+SUM(D14:D21)/SUM(C14:C21)</f>
        <v>1.0691992041780651</v>
      </c>
      <c r="D41" s="11">
        <f>+SUM(E14:E20)/SUM(D14:D20)</f>
        <v>1.0259948869935069</v>
      </c>
      <c r="E41" s="11">
        <f>+SUM(F14:F19)/SUM(E14:E19)</f>
        <v>1.0182425213675215</v>
      </c>
      <c r="F41" s="11">
        <f>+SUM(G14:G18)/SUM(F14:F18)</f>
        <v>1.0123629501903244</v>
      </c>
      <c r="G41" s="11">
        <f>+SUM(H14:H17)/SUM(G14:G17)</f>
        <v>1.0071913216592858</v>
      </c>
      <c r="H41" s="11">
        <f>+SUM(I14:I16)/SUM(H14:H16)</f>
        <v>1.007737047115949</v>
      </c>
      <c r="I41" s="49">
        <f>+I42</f>
        <v>1.0074287083632878</v>
      </c>
      <c r="J41" s="11">
        <f>+J42</f>
        <v>1.0049215625961243</v>
      </c>
    </row>
    <row r="42" spans="1:11">
      <c r="A42" t="s">
        <v>25</v>
      </c>
      <c r="B42" s="11">
        <f>+SUM(C20:C22)/SUM(B20:B22)</f>
        <v>1.1001641243483298</v>
      </c>
      <c r="C42" s="11">
        <f>+SUM(D19:D21)/SUM(C19:C21)</f>
        <v>1.0520458579172063</v>
      </c>
      <c r="D42" s="11">
        <f>+SUM(E18:E20)/SUM(D18:D20)</f>
        <v>1.0195567144719686</v>
      </c>
      <c r="E42" s="11">
        <f>+SUM(F17:F19)/SUM(E17:E19)</f>
        <v>1.0275869302984213</v>
      </c>
      <c r="F42" s="11">
        <f>+SUM(G16:G18)/SUM(F16:F18)</f>
        <v>1.0146135527170383</v>
      </c>
      <c r="G42" s="11">
        <f>+SUM(H15:H17)/SUM(G15:G17)</f>
        <v>1.0071553419270265</v>
      </c>
      <c r="H42" s="11">
        <f>+SUM(I14:I16)/SUM(H14:H16)</f>
        <v>1.007737047115949</v>
      </c>
      <c r="I42" s="12">
        <f>+(J14+J15)/(I14+I15)</f>
        <v>1.0074287083632878</v>
      </c>
      <c r="J42" s="12">
        <f>+J30</f>
        <v>1.0049215625961243</v>
      </c>
    </row>
    <row r="43" spans="1:11">
      <c r="A43" t="s">
        <v>26</v>
      </c>
      <c r="B43" s="12">
        <f>+AVERAGE(B36:B38)</f>
        <v>1.0988231003823035</v>
      </c>
      <c r="C43" s="12">
        <f>+AVERAGE(C35:C37)</f>
        <v>1.0517834322396122</v>
      </c>
      <c r="D43" s="12">
        <f>+AVERAGE(D34:D36)</f>
        <v>1.018375530225448</v>
      </c>
      <c r="E43" s="12">
        <f>+AVERAGE(E33:E35)</f>
        <v>1.0261818137472563</v>
      </c>
      <c r="F43" s="12">
        <f>+AVERAGE(F32:F34)</f>
        <v>1.0144343794159665</v>
      </c>
      <c r="G43" s="12">
        <f>+AVERAGE(G31:G33)</f>
        <v>1.0073127122186245</v>
      </c>
      <c r="H43" s="12">
        <f>+AVERAGE(H30:H32)</f>
        <v>1.0076521641702962</v>
      </c>
      <c r="I43" s="12">
        <f>+AVERAGE(I29:I31)</f>
        <v>1.007423455885768</v>
      </c>
      <c r="J43" s="12">
        <f>+J30</f>
        <v>1.0049215625961243</v>
      </c>
    </row>
    <row r="44" spans="1:11">
      <c r="B44" t="str">
        <f>+'Paid Tria'!B44</f>
        <v>Mechanical application of all-time weighted average</v>
      </c>
    </row>
    <row r="45" spans="1:11">
      <c r="A45" t="s">
        <v>27</v>
      </c>
      <c r="B45" s="11">
        <f>+B41</f>
        <v>1.1093283363588453</v>
      </c>
      <c r="C45" s="11">
        <f t="shared" ref="C45:J45" si="8">+C41</f>
        <v>1.0691992041780651</v>
      </c>
      <c r="D45" s="11">
        <f t="shared" si="8"/>
        <v>1.0259948869935069</v>
      </c>
      <c r="E45" s="11">
        <f t="shared" si="8"/>
        <v>1.0182425213675215</v>
      </c>
      <c r="F45" s="11">
        <f t="shared" si="8"/>
        <v>1.0123629501903244</v>
      </c>
      <c r="G45" s="11">
        <f t="shared" si="8"/>
        <v>1.0071913216592858</v>
      </c>
      <c r="H45" s="11">
        <f t="shared" si="8"/>
        <v>1.007737047115949</v>
      </c>
      <c r="I45" s="11">
        <f t="shared" si="8"/>
        <v>1.0074287083632878</v>
      </c>
      <c r="J45" s="11">
        <f t="shared" si="8"/>
        <v>1.0049215625961243</v>
      </c>
      <c r="K45" s="50">
        <f>+(1+'Paid over Disposed'!D37*'Case Over Paid'!C46)/(1+'Case Over Paid'!C46)</f>
        <v>1.0408906799409283</v>
      </c>
    </row>
    <row r="46" spans="1:11">
      <c r="B46" s="27"/>
      <c r="C46" s="27"/>
      <c r="D46" s="27"/>
      <c r="E46" s="27"/>
      <c r="F46" s="27"/>
    </row>
    <row r="47" spans="1:11">
      <c r="A47" t="s">
        <v>31</v>
      </c>
      <c r="B47" s="28">
        <f t="shared" ref="B47:J47" si="9">+B45*C47</f>
        <v>1.3417209746889966</v>
      </c>
      <c r="C47" s="28">
        <f t="shared" si="9"/>
        <v>1.2094894998291805</v>
      </c>
      <c r="D47" s="28">
        <f t="shared" si="9"/>
        <v>1.1312106248329674</v>
      </c>
      <c r="E47" s="28">
        <f t="shared" si="9"/>
        <v>1.1025499631365379</v>
      </c>
      <c r="F47" s="28">
        <f t="shared" si="9"/>
        <v>1.0827970154455833</v>
      </c>
      <c r="G47" s="11">
        <f t="shared" si="9"/>
        <v>1.0695739262702346</v>
      </c>
      <c r="H47" s="11">
        <f t="shared" si="9"/>
        <v>1.061937194323892</v>
      </c>
      <c r="I47" s="11">
        <f t="shared" si="9"/>
        <v>1.053784017728691</v>
      </c>
      <c r="J47" s="11">
        <f t="shared" si="9"/>
        <v>1.0460134885779799</v>
      </c>
      <c r="K47" s="11">
        <f>+K45</f>
        <v>1.0408906799409283</v>
      </c>
    </row>
    <row r="48" spans="1:11">
      <c r="B48" s="29"/>
      <c r="C48" s="27"/>
      <c r="D48" s="27"/>
      <c r="E48" s="27"/>
      <c r="F48" s="27"/>
    </row>
    <row r="49" spans="1:11">
      <c r="A49" t="s">
        <v>32</v>
      </c>
      <c r="B49" s="11">
        <f>+'Paid Tria'!B47</f>
        <v>2.3580720781101023</v>
      </c>
      <c r="C49" s="11">
        <f>+'Paid Tria'!C47</f>
        <v>1.6455026144452727</v>
      </c>
      <c r="D49" s="11">
        <f>+'Paid Tria'!D47</f>
        <v>1.415521422723689</v>
      </c>
      <c r="E49" s="11">
        <f>+'Paid Tria'!E47</f>
        <v>1.2577215813230662</v>
      </c>
      <c r="F49" s="11">
        <f>+'Paid Tria'!F47</f>
        <v>1.1518791725321706</v>
      </c>
      <c r="G49" s="11">
        <f>+'Paid Tria'!G47</f>
        <v>1.1066270527328745</v>
      </c>
      <c r="H49" s="11">
        <f>+'Paid Tria'!H47</f>
        <v>1.0804025821047256</v>
      </c>
      <c r="I49" s="11">
        <f>+'Paid Tria'!I47</f>
        <v>1.0657461824654497</v>
      </c>
      <c r="J49" s="11">
        <f>+'Paid Tria'!J47</f>
        <v>1.0600786900762207</v>
      </c>
      <c r="K49" s="11">
        <f>+'Paid Tria'!K47</f>
        <v>1.0543030434148464</v>
      </c>
    </row>
    <row r="50" spans="1:11">
      <c r="A50" s="13" t="s">
        <v>33</v>
      </c>
      <c r="B50" s="10">
        <f t="shared" ref="B50:K50" si="10">1/B47</f>
        <v>0.74531144616845124</v>
      </c>
      <c r="C50" s="10">
        <f t="shared" si="10"/>
        <v>0.82679510664725298</v>
      </c>
      <c r="D50" s="10">
        <f t="shared" si="10"/>
        <v>0.88400867004556138</v>
      </c>
      <c r="E50" s="10">
        <f t="shared" si="10"/>
        <v>0.90698837552467615</v>
      </c>
      <c r="F50" s="10">
        <f t="shared" si="10"/>
        <v>0.92353413034527865</v>
      </c>
      <c r="G50" s="10">
        <f t="shared" si="10"/>
        <v>0.93495173679780197</v>
      </c>
      <c r="H50" s="10">
        <f t="shared" si="10"/>
        <v>0.94167527547302288</v>
      </c>
      <c r="I50" s="10">
        <f t="shared" si="10"/>
        <v>0.94896106144728198</v>
      </c>
      <c r="J50" s="10">
        <f t="shared" si="10"/>
        <v>0.9560106164208898</v>
      </c>
      <c r="K50" s="10">
        <f t="shared" si="10"/>
        <v>0.96071568251216455</v>
      </c>
    </row>
    <row r="51" spans="1:11">
      <c r="A51" s="13" t="s">
        <v>20</v>
      </c>
      <c r="B51" s="10">
        <f t="shared" ref="B51:K51" si="11">1/B49</f>
        <v>0.42407524743749936</v>
      </c>
      <c r="C51" s="10">
        <f t="shared" si="11"/>
        <v>0.60771705327075232</v>
      </c>
      <c r="D51" s="10">
        <f t="shared" si="11"/>
        <v>0.70645345520510772</v>
      </c>
      <c r="E51" s="10">
        <f t="shared" si="11"/>
        <v>0.7950885274211843</v>
      </c>
      <c r="F51" s="10">
        <f t="shared" si="11"/>
        <v>0.86814661107354218</v>
      </c>
      <c r="G51" s="10">
        <f t="shared" si="11"/>
        <v>0.9036468045223065</v>
      </c>
      <c r="H51" s="10">
        <f t="shared" si="11"/>
        <v>0.92558090526950254</v>
      </c>
      <c r="I51" s="10">
        <f t="shared" si="11"/>
        <v>0.9383097180668708</v>
      </c>
      <c r="J51" s="10">
        <f t="shared" si="11"/>
        <v>0.94332619772603765</v>
      </c>
      <c r="K51" s="10">
        <f t="shared" si="11"/>
        <v>0.9484938948492827</v>
      </c>
    </row>
    <row r="52" spans="1:11">
      <c r="A52" s="13" t="s">
        <v>34</v>
      </c>
      <c r="B52" s="10">
        <f t="shared" ref="B52:K52" si="12">+B50-B51</f>
        <v>0.32123619873095188</v>
      </c>
      <c r="C52" s="10">
        <f t="shared" si="12"/>
        <v>0.21907805337650066</v>
      </c>
      <c r="D52" s="10">
        <f t="shared" si="12"/>
        <v>0.17755521484045367</v>
      </c>
      <c r="E52" s="10">
        <f t="shared" si="12"/>
        <v>0.11189984810349185</v>
      </c>
      <c r="F52" s="10">
        <f t="shared" si="12"/>
        <v>5.5387519271736463E-2</v>
      </c>
      <c r="G52" s="10">
        <f t="shared" si="12"/>
        <v>3.1304932275495467E-2</v>
      </c>
      <c r="H52" s="10">
        <f t="shared" si="12"/>
        <v>1.6094370203520336E-2</v>
      </c>
      <c r="I52" s="10">
        <f t="shared" si="12"/>
        <v>1.0651343380411182E-2</v>
      </c>
      <c r="J52" s="10">
        <f t="shared" si="12"/>
        <v>1.2684418694852151E-2</v>
      </c>
      <c r="K52" s="10">
        <f t="shared" si="12"/>
        <v>1.2221787662881844E-2</v>
      </c>
    </row>
    <row r="53" spans="1:11">
      <c r="A53" s="13" t="s">
        <v>35</v>
      </c>
      <c r="B53" s="10">
        <f t="shared" ref="B53:K53" si="13">1-B50</f>
        <v>0.25468855383154876</v>
      </c>
      <c r="C53" s="10">
        <f t="shared" si="13"/>
        <v>0.17320489335274702</v>
      </c>
      <c r="D53" s="10">
        <f t="shared" si="13"/>
        <v>0.11599132995443862</v>
      </c>
      <c r="E53" s="10">
        <f t="shared" si="13"/>
        <v>9.3011624475323851E-2</v>
      </c>
      <c r="F53" s="10">
        <f t="shared" si="13"/>
        <v>7.6465869654721352E-2</v>
      </c>
      <c r="G53" s="10">
        <f t="shared" si="13"/>
        <v>6.5048263202198031E-2</v>
      </c>
      <c r="H53" s="10">
        <f t="shared" si="13"/>
        <v>5.8324724526977123E-2</v>
      </c>
      <c r="I53" s="10">
        <f t="shared" si="13"/>
        <v>5.1038938552718016E-2</v>
      </c>
      <c r="J53" s="10">
        <f t="shared" si="13"/>
        <v>4.3989383579110197E-2</v>
      </c>
      <c r="K53" s="10">
        <f t="shared" si="13"/>
        <v>3.9284317487835452E-2</v>
      </c>
    </row>
    <row r="54" spans="1:11">
      <c r="A54" t="s">
        <v>36</v>
      </c>
      <c r="B54" s="14">
        <f t="shared" ref="B54:K54" si="14">+B53/B52</f>
        <v>0.79283889809958985</v>
      </c>
      <c r="C54" s="14">
        <f t="shared" si="14"/>
        <v>0.79060814482901465</v>
      </c>
      <c r="D54" s="14">
        <f t="shared" si="14"/>
        <v>0.65326906933522233</v>
      </c>
      <c r="E54" s="14">
        <f t="shared" si="14"/>
        <v>0.83120420672332807</v>
      </c>
      <c r="F54" s="14">
        <f t="shared" si="14"/>
        <v>1.3805613730337423</v>
      </c>
      <c r="G54" s="14">
        <f t="shared" si="14"/>
        <v>2.0778918360131957</v>
      </c>
      <c r="H54" s="14">
        <f t="shared" si="14"/>
        <v>3.6239208983908986</v>
      </c>
      <c r="I54" s="14">
        <f t="shared" si="14"/>
        <v>4.7917841656089504</v>
      </c>
      <c r="J54" s="14">
        <f t="shared" si="14"/>
        <v>3.4679857735193544</v>
      </c>
      <c r="K54" s="14">
        <f t="shared" si="14"/>
        <v>3.2142857142857921</v>
      </c>
    </row>
    <row r="57" spans="1:11">
      <c r="A57" t="s">
        <v>60</v>
      </c>
      <c r="B57" t="str">
        <f>+'Paid Tria'!B49</f>
        <v>Data Source: 2011 Co. Sked P</v>
      </c>
    </row>
    <row r="58" spans="1:11">
      <c r="B58" t="str">
        <f>+'Paid Tria'!B50</f>
        <v>Link ratios are all time weighted average</v>
      </c>
    </row>
    <row r="59" spans="1:11">
      <c r="B59" t="s">
        <v>133</v>
      </c>
    </row>
    <row r="61" spans="1:11">
      <c r="B61" s="10"/>
    </row>
    <row r="63" spans="1:11">
      <c r="B63" s="14"/>
      <c r="C63" s="10"/>
      <c r="D63" s="10"/>
      <c r="E63" s="10"/>
      <c r="F63" s="10"/>
      <c r="G63" s="10"/>
      <c r="H63" s="10"/>
      <c r="I63" s="10"/>
      <c r="J63" s="10"/>
      <c r="K63" s="10"/>
    </row>
    <row r="64" spans="1:11">
      <c r="B64" s="11"/>
      <c r="C64" s="11"/>
      <c r="D64" s="11"/>
      <c r="E64" s="11"/>
      <c r="F64" s="11"/>
      <c r="G64" s="11"/>
      <c r="H64" s="11"/>
      <c r="I64" s="11"/>
      <c r="J64" s="11"/>
      <c r="K64" s="11"/>
    </row>
    <row r="70" spans="1:11">
      <c r="A70" s="13"/>
    </row>
    <row r="71" spans="1:11">
      <c r="A71" s="13"/>
    </row>
    <row r="72" spans="1:11">
      <c r="A72" s="13"/>
    </row>
    <row r="74" spans="1:11">
      <c r="B74" s="10"/>
      <c r="C74" s="10"/>
      <c r="D74" s="10"/>
      <c r="E74" s="10"/>
      <c r="F74" s="10"/>
      <c r="G74" s="10"/>
      <c r="H74" s="10"/>
      <c r="I74" s="10"/>
      <c r="J74" s="10"/>
      <c r="K74" s="10"/>
    </row>
    <row r="75" spans="1:11">
      <c r="B75" s="10"/>
      <c r="C75" s="10"/>
      <c r="D75" s="10"/>
      <c r="E75" s="10"/>
      <c r="F75" s="10"/>
      <c r="G75" s="10"/>
      <c r="H75" s="10"/>
      <c r="I75" s="10"/>
      <c r="J75" s="10"/>
      <c r="K75" s="10"/>
    </row>
    <row r="76" spans="1:11">
      <c r="B76" s="10"/>
      <c r="C76" s="10"/>
      <c r="D76" s="10"/>
      <c r="E76" s="10"/>
      <c r="F76" s="10"/>
      <c r="G76" s="10"/>
      <c r="H76" s="10"/>
      <c r="I76" s="10"/>
      <c r="J76" s="10"/>
      <c r="K76" s="10"/>
    </row>
    <row r="78" spans="1:11">
      <c r="B78" s="11"/>
      <c r="C78" s="11"/>
      <c r="D78" s="11"/>
      <c r="E78" s="11"/>
      <c r="F78" s="11"/>
      <c r="G78" s="11"/>
      <c r="H78" s="11"/>
      <c r="I78" s="11"/>
      <c r="J78" s="11"/>
      <c r="K78" s="11"/>
    </row>
    <row r="79" spans="1:11">
      <c r="B79" s="11"/>
      <c r="C79" s="11"/>
      <c r="D79" s="11"/>
      <c r="E79" s="11"/>
      <c r="F79" s="11"/>
      <c r="G79" s="11"/>
      <c r="H79" s="11"/>
      <c r="I79" s="11"/>
      <c r="J79" s="11"/>
      <c r="K79" s="11"/>
    </row>
    <row r="80" spans="1:11">
      <c r="B80" s="11"/>
      <c r="C80" s="11"/>
      <c r="D80" s="11"/>
      <c r="E80" s="11"/>
      <c r="F80" s="11"/>
      <c r="G80" s="11"/>
      <c r="H80" s="11"/>
      <c r="I80" s="11"/>
      <c r="J80" s="11"/>
      <c r="K80" s="11"/>
    </row>
    <row r="82" spans="2:11">
      <c r="B82" s="10"/>
      <c r="C82" s="10"/>
      <c r="D82" s="10"/>
      <c r="E82" s="10"/>
      <c r="F82" s="10"/>
      <c r="G82" s="10"/>
      <c r="H82" s="10"/>
      <c r="I82" s="10"/>
      <c r="J82" s="10"/>
      <c r="K82" s="10"/>
    </row>
    <row r="83" spans="2:11">
      <c r="B83" s="10"/>
      <c r="C83" s="10"/>
      <c r="D83" s="10"/>
      <c r="E83" s="10"/>
      <c r="F83" s="10"/>
      <c r="G83" s="10"/>
      <c r="H83" s="10"/>
      <c r="I83" s="10"/>
      <c r="J83" s="10"/>
      <c r="K83" s="10"/>
    </row>
    <row r="84" spans="2:11">
      <c r="B84" s="10"/>
      <c r="C84" s="10"/>
      <c r="D84" s="10"/>
      <c r="E84" s="10"/>
      <c r="F84" s="10"/>
      <c r="G84" s="10"/>
      <c r="H84" s="10"/>
      <c r="I84" s="10"/>
      <c r="J84" s="10"/>
      <c r="K84" s="10"/>
    </row>
    <row r="86" spans="2:11">
      <c r="B86" s="11"/>
      <c r="C86" s="11"/>
      <c r="D86" s="11"/>
      <c r="E86" s="11"/>
      <c r="F86" s="11"/>
      <c r="G86" s="11"/>
      <c r="H86" s="11"/>
      <c r="I86" s="11"/>
      <c r="J86" s="11"/>
      <c r="K86" s="11"/>
    </row>
    <row r="87" spans="2:11">
      <c r="B87" s="11"/>
      <c r="C87" s="11"/>
      <c r="D87" s="11"/>
      <c r="E87" s="11"/>
      <c r="F87" s="11"/>
      <c r="G87" s="11"/>
      <c r="H87" s="11"/>
      <c r="I87" s="11"/>
      <c r="J87" s="11"/>
      <c r="K87" s="11"/>
    </row>
    <row r="88" spans="2:11">
      <c r="B88" s="11"/>
      <c r="C88" s="11"/>
      <c r="D88" s="11"/>
      <c r="E88" s="11"/>
      <c r="F88" s="11"/>
      <c r="G88" s="11"/>
      <c r="H88" s="11"/>
      <c r="I88" s="11"/>
      <c r="J88" s="11"/>
      <c r="K88" s="11"/>
    </row>
    <row r="90" spans="2:11">
      <c r="B90" s="24"/>
      <c r="C90" s="24"/>
      <c r="D90" s="24"/>
      <c r="E90" s="24"/>
      <c r="F90" s="24"/>
      <c r="G90" s="24"/>
      <c r="H90" s="24"/>
    </row>
    <row r="91" spans="2:11">
      <c r="B91" s="24"/>
      <c r="C91" s="24"/>
      <c r="D91" s="24"/>
      <c r="E91" s="24"/>
      <c r="F91" s="24"/>
      <c r="G91" s="24"/>
      <c r="H91" s="24"/>
    </row>
    <row r="92" spans="2:11">
      <c r="B92" s="24"/>
      <c r="C92" s="24"/>
      <c r="D92" s="24"/>
      <c r="E92" s="24"/>
      <c r="F92" s="24"/>
      <c r="G92" s="24"/>
      <c r="H92" s="24"/>
    </row>
    <row r="93" spans="2:11">
      <c r="B93" s="11"/>
      <c r="C93" s="11"/>
      <c r="D93" s="11"/>
      <c r="E93" s="11"/>
      <c r="F93" s="11"/>
      <c r="G93" s="11"/>
      <c r="H93" s="11"/>
      <c r="I93" s="11"/>
      <c r="J93" s="11"/>
      <c r="K93" s="11"/>
    </row>
    <row r="94" spans="2:11">
      <c r="B94" s="11"/>
      <c r="C94" s="11"/>
      <c r="D94" s="11"/>
      <c r="E94" s="11"/>
      <c r="F94" s="11"/>
      <c r="G94" s="11"/>
      <c r="H94" s="11"/>
      <c r="I94" s="11"/>
      <c r="J94" s="11"/>
      <c r="K94" s="11"/>
    </row>
    <row r="95" spans="2:11">
      <c r="B95" s="11"/>
      <c r="C95" s="11"/>
      <c r="D95" s="11"/>
      <c r="E95" s="11"/>
      <c r="F95" s="11"/>
      <c r="G95" s="11"/>
      <c r="H95" s="11"/>
      <c r="I95" s="11"/>
      <c r="J95" s="11"/>
      <c r="K95" s="11"/>
    </row>
    <row r="96" spans="2:11">
      <c r="B96" s="11"/>
      <c r="C96" s="11"/>
      <c r="D96" s="11"/>
      <c r="E96" s="11"/>
      <c r="F96" s="11"/>
      <c r="G96" s="11"/>
      <c r="H96" s="11"/>
      <c r="I96" s="11"/>
      <c r="J96" s="11"/>
      <c r="K96" s="11"/>
    </row>
    <row r="97" spans="2:11">
      <c r="B97" s="11"/>
      <c r="C97" s="11"/>
      <c r="D97" s="11"/>
      <c r="E97" s="11"/>
      <c r="F97" s="11"/>
      <c r="G97" s="11"/>
      <c r="H97" s="11"/>
      <c r="I97" s="11"/>
      <c r="J97" s="11"/>
    </row>
    <row r="98" spans="2:11">
      <c r="B98" s="11"/>
      <c r="C98" s="11"/>
      <c r="D98" s="11"/>
      <c r="E98" s="11"/>
      <c r="F98" s="11"/>
      <c r="G98" s="11"/>
      <c r="H98" s="11"/>
      <c r="I98" s="11"/>
      <c r="J98" s="11"/>
    </row>
    <row r="99" spans="2:11">
      <c r="B99" s="11"/>
      <c r="C99" s="11"/>
      <c r="D99" s="11"/>
      <c r="E99" s="11"/>
      <c r="F99" s="11"/>
      <c r="G99" s="11"/>
      <c r="H99" s="11"/>
      <c r="I99" s="11"/>
      <c r="J99" s="11"/>
      <c r="K99" s="11"/>
    </row>
    <row r="100" spans="2:11">
      <c r="B100" s="11"/>
      <c r="C100" s="11"/>
      <c r="D100" s="11"/>
      <c r="E100" s="11"/>
      <c r="F100" s="11"/>
      <c r="G100" s="11"/>
      <c r="H100" s="11"/>
      <c r="I100" s="11"/>
      <c r="J100" s="11"/>
      <c r="K100" s="11"/>
    </row>
    <row r="101" spans="2:11">
      <c r="B101" s="11"/>
      <c r="C101" s="11"/>
      <c r="D101" s="11"/>
      <c r="E101" s="11"/>
      <c r="F101" s="11"/>
      <c r="G101" s="11"/>
      <c r="H101" s="11"/>
      <c r="I101" s="11"/>
      <c r="J101" s="11"/>
      <c r="K101" s="11"/>
    </row>
    <row r="102" spans="2:11">
      <c r="B102" s="11"/>
      <c r="C102" s="11"/>
      <c r="D102" s="11"/>
      <c r="E102" s="11"/>
      <c r="F102" s="11"/>
      <c r="G102" s="11"/>
      <c r="H102" s="11"/>
      <c r="I102" s="11"/>
      <c r="J102" s="11"/>
      <c r="K102" s="11"/>
    </row>
  </sheetData>
  <phoneticPr fontId="0" type="noConversion"/>
  <pageMargins left="0.75" right="0.75" top="1" bottom="1" header="0.5" footer="0.5"/>
  <pageSetup scale="6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AE53"/>
  <sheetViews>
    <sheetView topLeftCell="O4" workbookViewId="0">
      <selection activeCell="V24" sqref="V24"/>
    </sheetView>
  </sheetViews>
  <sheetFormatPr defaultRowHeight="12.75"/>
  <cols>
    <col min="9" max="9" width="12.7109375" customWidth="1"/>
    <col min="10" max="10" width="14.28515625" customWidth="1"/>
    <col min="11" max="12" width="12.42578125" customWidth="1"/>
    <col min="13" max="13" width="11.7109375" customWidth="1"/>
    <col min="14" max="14" width="11.42578125" customWidth="1"/>
    <col min="18" max="18" width="13.28515625" customWidth="1"/>
    <col min="19" max="19" width="12" customWidth="1"/>
    <col min="21" max="21" width="11" customWidth="1"/>
    <col min="22" max="22" width="11.5703125" customWidth="1"/>
    <col min="23" max="23" width="10.28515625" bestFit="1" customWidth="1"/>
  </cols>
  <sheetData>
    <row r="1" spans="1:31" ht="19.5">
      <c r="C1" s="1"/>
      <c r="D1" s="1"/>
      <c r="E1" s="1"/>
      <c r="F1" s="1"/>
      <c r="G1" s="1"/>
      <c r="H1" s="1"/>
      <c r="I1" s="1"/>
      <c r="J1" s="1"/>
      <c r="N1" s="2" t="str">
        <f>+Input!$B$1</f>
        <v>Development of NAIC Data</v>
      </c>
    </row>
    <row r="2" spans="1:31" ht="19.5">
      <c r="C2" s="1" t="str">
        <f>+'Paid Tria'!A2</f>
        <v>Selected Small Company Number 2 CMP</v>
      </c>
      <c r="D2" s="1"/>
      <c r="E2" s="1"/>
      <c r="F2" s="1"/>
      <c r="G2" s="1"/>
      <c r="H2" s="1"/>
      <c r="I2" s="1"/>
      <c r="J2" s="1"/>
      <c r="N2" s="2"/>
    </row>
    <row r="3" spans="1:31" ht="15.75">
      <c r="C3" s="3"/>
      <c r="D3" s="3"/>
      <c r="E3" s="3"/>
      <c r="F3" s="3"/>
      <c r="G3" s="3"/>
      <c r="H3" s="3"/>
      <c r="I3" s="3"/>
      <c r="J3" s="3"/>
      <c r="N3" s="2"/>
    </row>
    <row r="4" spans="1:31">
      <c r="B4" s="4"/>
      <c r="C4" s="4"/>
      <c r="D4" s="4"/>
      <c r="E4" s="4"/>
      <c r="F4" s="4"/>
      <c r="G4" s="4"/>
      <c r="H4" s="4"/>
      <c r="I4" s="4"/>
      <c r="J4" s="4"/>
      <c r="K4" s="4"/>
      <c r="L4" s="4"/>
      <c r="N4" s="2" t="s">
        <v>146</v>
      </c>
    </row>
    <row r="5" spans="1:31">
      <c r="B5" s="4" t="s">
        <v>0</v>
      </c>
      <c r="C5" s="4"/>
      <c r="D5" s="4"/>
      <c r="E5" s="4"/>
      <c r="F5" s="4"/>
      <c r="G5" s="4"/>
      <c r="H5" s="4"/>
      <c r="I5" s="4"/>
      <c r="J5" s="4"/>
      <c r="K5" s="4"/>
      <c r="L5" s="4"/>
      <c r="N5" s="2"/>
    </row>
    <row r="6" spans="1:31">
      <c r="A6" s="6"/>
      <c r="B6" s="6"/>
      <c r="C6" s="6"/>
      <c r="D6" s="6"/>
      <c r="E6" s="6"/>
      <c r="F6" s="6"/>
      <c r="G6" s="6"/>
      <c r="H6" s="6"/>
      <c r="I6" s="6"/>
      <c r="J6" s="6"/>
      <c r="K6" s="6"/>
      <c r="L6" s="6"/>
      <c r="M6" s="6"/>
      <c r="N6" s="6"/>
      <c r="O6" s="6"/>
    </row>
    <row r="7" spans="1:31">
      <c r="B7" s="6"/>
      <c r="C7" s="31" t="s">
        <v>144</v>
      </c>
      <c r="D7" s="6"/>
      <c r="E7" s="6"/>
      <c r="F7" s="6"/>
      <c r="G7" s="6"/>
      <c r="H7" s="6"/>
      <c r="I7" s="6"/>
      <c r="J7" s="6"/>
      <c r="K7" s="6"/>
      <c r="L7" s="6"/>
      <c r="M7" s="6"/>
      <c r="N7" s="6"/>
      <c r="O7" s="6"/>
    </row>
    <row r="8" spans="1:31">
      <c r="A8" s="6"/>
      <c r="B8" s="6"/>
      <c r="C8" s="6"/>
      <c r="D8" s="6"/>
      <c r="E8" s="6"/>
      <c r="F8" s="6"/>
      <c r="G8" s="6"/>
      <c r="H8" s="6"/>
      <c r="I8" s="6"/>
      <c r="K8" s="6"/>
      <c r="L8" s="6"/>
      <c r="M8" s="6"/>
      <c r="N8" s="6"/>
      <c r="O8" s="6"/>
    </row>
    <row r="9" spans="1:31">
      <c r="A9" s="6"/>
      <c r="B9" s="6"/>
      <c r="C9" s="6"/>
      <c r="D9" s="6"/>
      <c r="E9" s="6"/>
      <c r="F9" s="6"/>
      <c r="G9" s="6"/>
      <c r="H9" s="6" t="s">
        <v>5</v>
      </c>
      <c r="I9" s="6" t="s">
        <v>6</v>
      </c>
      <c r="J9" s="6"/>
      <c r="K9" s="6" t="s">
        <v>6</v>
      </c>
      <c r="L9" s="6"/>
      <c r="M9" s="6"/>
      <c r="N9" s="6" t="s">
        <v>136</v>
      </c>
      <c r="O9" s="6" t="s">
        <v>134</v>
      </c>
      <c r="Q9" s="6" t="s">
        <v>8</v>
      </c>
      <c r="R9" s="31" t="s">
        <v>142</v>
      </c>
      <c r="X9" s="92" t="s">
        <v>225</v>
      </c>
      <c r="AE9" t="s">
        <v>149</v>
      </c>
    </row>
    <row r="10" spans="1:31">
      <c r="A10" s="6"/>
      <c r="B10" s="6"/>
      <c r="C10" s="8" t="s">
        <v>7</v>
      </c>
      <c r="D10" s="8" t="s">
        <v>7</v>
      </c>
      <c r="E10" s="6"/>
      <c r="F10" s="6"/>
      <c r="G10" s="6"/>
      <c r="H10" s="6" t="s">
        <v>8</v>
      </c>
      <c r="I10" s="8" t="s">
        <v>7</v>
      </c>
      <c r="J10" s="35" t="s">
        <v>154</v>
      </c>
      <c r="K10" s="6" t="s">
        <v>152</v>
      </c>
      <c r="L10" s="6" t="s">
        <v>134</v>
      </c>
      <c r="M10" s="6" t="s">
        <v>136</v>
      </c>
      <c r="N10" s="6" t="s">
        <v>153</v>
      </c>
      <c r="O10" s="6" t="s">
        <v>153</v>
      </c>
      <c r="P10" s="6" t="s">
        <v>137</v>
      </c>
      <c r="Q10" s="6" t="s">
        <v>138</v>
      </c>
      <c r="R10" s="6" t="s">
        <v>140</v>
      </c>
      <c r="S10" s="6" t="s">
        <v>134</v>
      </c>
      <c r="T10" s="6" t="s">
        <v>136</v>
      </c>
      <c r="U10" s="6" t="s">
        <v>136</v>
      </c>
      <c r="V10" s="6" t="s">
        <v>134</v>
      </c>
      <c r="W10" s="6" t="s">
        <v>137</v>
      </c>
      <c r="X10" s="6" t="s">
        <v>140</v>
      </c>
      <c r="Y10" s="41" t="s">
        <v>134</v>
      </c>
      <c r="Z10" s="41" t="s">
        <v>136</v>
      </c>
      <c r="AA10" s="6" t="s">
        <v>136</v>
      </c>
      <c r="AB10" s="6" t="s">
        <v>134</v>
      </c>
      <c r="AC10" s="6" t="s">
        <v>137</v>
      </c>
      <c r="AD10" t="s">
        <v>147</v>
      </c>
      <c r="AE10" s="6" t="s">
        <v>150</v>
      </c>
    </row>
    <row r="11" spans="1:31">
      <c r="A11" s="6" t="s">
        <v>10</v>
      </c>
      <c r="B11" s="6" t="s">
        <v>11</v>
      </c>
      <c r="C11" s="91" t="s">
        <v>224</v>
      </c>
      <c r="D11" s="6" t="s">
        <v>13</v>
      </c>
      <c r="E11" s="6" t="s">
        <v>14</v>
      </c>
      <c r="F11" s="6" t="s">
        <v>15</v>
      </c>
      <c r="G11" s="6" t="s">
        <v>16</v>
      </c>
      <c r="H11" s="6" t="s">
        <v>17</v>
      </c>
      <c r="I11" s="6" t="s">
        <v>18</v>
      </c>
      <c r="J11" s="35" t="s">
        <v>155</v>
      </c>
      <c r="K11" s="6" t="s">
        <v>11</v>
      </c>
      <c r="L11" s="6" t="s">
        <v>135</v>
      </c>
      <c r="M11" s="6" t="s">
        <v>135</v>
      </c>
      <c r="N11" s="6" t="s">
        <v>135</v>
      </c>
      <c r="O11" s="6" t="s">
        <v>135</v>
      </c>
      <c r="P11" s="6" t="s">
        <v>8</v>
      </c>
      <c r="Q11" s="6" t="s">
        <v>139</v>
      </c>
      <c r="R11" s="6" t="s">
        <v>8</v>
      </c>
      <c r="S11" s="23" t="s">
        <v>135</v>
      </c>
      <c r="T11" s="23" t="s">
        <v>135</v>
      </c>
      <c r="U11" s="6" t="s">
        <v>153</v>
      </c>
      <c r="V11" s="6" t="s">
        <v>153</v>
      </c>
      <c r="W11" s="23" t="s">
        <v>8</v>
      </c>
      <c r="X11" s="6" t="s">
        <v>8</v>
      </c>
      <c r="Y11" s="45" t="s">
        <v>135</v>
      </c>
      <c r="Z11" s="45" t="s">
        <v>135</v>
      </c>
      <c r="AA11" s="6" t="s">
        <v>153</v>
      </c>
      <c r="AB11" s="6" t="s">
        <v>153</v>
      </c>
      <c r="AC11" s="23" t="s">
        <v>8</v>
      </c>
      <c r="AD11" t="s">
        <v>148</v>
      </c>
      <c r="AE11" t="s">
        <v>151</v>
      </c>
    </row>
    <row r="13" spans="1:31">
      <c r="A13">
        <v>0</v>
      </c>
      <c r="C13">
        <v>0</v>
      </c>
      <c r="D13">
        <v>0</v>
      </c>
      <c r="H13">
        <f>1-EXP(-G$25*(A13^G$26))</f>
        <v>0</v>
      </c>
      <c r="K13" t="s">
        <v>22</v>
      </c>
    </row>
    <row r="14" spans="1:31">
      <c r="A14">
        <v>12</v>
      </c>
      <c r="B14" s="11">
        <f>+'Inc Tria'!B47</f>
        <v>1.3417209746889966</v>
      </c>
      <c r="C14">
        <f t="shared" ref="C14:C22" si="0">1/B14</f>
        <v>0.74531144616845124</v>
      </c>
      <c r="H14">
        <f>1-EXP(-G$26*(A14^G$27))</f>
        <v>0.7435786084542344</v>
      </c>
      <c r="I14">
        <f>+C13+(C15-C13)*(H14-H13)/(H15-H13)</f>
        <v>0.73996718142571494</v>
      </c>
      <c r="J14" s="11">
        <f>+B14</f>
        <v>1.3417209746889966</v>
      </c>
      <c r="K14">
        <f t="shared" ref="K14:K18" si="1">1/I14</f>
        <v>1.3514112856644165</v>
      </c>
      <c r="N14">
        <f>2/(C13+C15)</f>
        <v>2.4189789996583611</v>
      </c>
      <c r="P14">
        <f>1/H14</f>
        <v>1.3448477250829194</v>
      </c>
      <c r="Q14">
        <f>+IF(H14&gt;C15,1,IF(H14&lt;C13,1,0))</f>
        <v>0</v>
      </c>
      <c r="R14" s="32">
        <f>+((K14-$B14)/$B14)^2</f>
        <v>5.2161612767571667E-5</v>
      </c>
      <c r="S14" s="32"/>
      <c r="T14" s="32"/>
      <c r="U14" s="32">
        <f t="shared" ref="U14:W14" si="2">+((N14-$B14)/$B14)^2</f>
        <v>0.64463674630275869</v>
      </c>
      <c r="V14" s="32"/>
      <c r="W14" s="32">
        <f t="shared" si="2"/>
        <v>5.4307774801193531E-6</v>
      </c>
      <c r="X14" s="32">
        <f>+((K14-$B14)/($B14-1))^2</f>
        <v>8.0414090788636446E-4</v>
      </c>
      <c r="Y14" s="32"/>
      <c r="Z14" s="32"/>
      <c r="AA14" s="32">
        <f>+((N14-$B14)/($B14-1))^2</f>
        <v>9.9379361742258663</v>
      </c>
      <c r="AB14" s="32"/>
      <c r="AC14" s="32">
        <f>+((P14-$B14)/($B14-1))^2</f>
        <v>8.3722686122676533E-5</v>
      </c>
      <c r="AD14" s="34">
        <f>+((H15-C15)^2+(H17-C17)^2+(H19-C19)^2+(H21-C21)^2)*0.25</f>
        <v>1.3284571168384946E-5</v>
      </c>
      <c r="AE14" s="34">
        <f>+SQRT(MAX((H15-C15)^2,(H17-C17)^2,(H19-C19)^2,(H21-C21)^2))</f>
        <v>5.2734105869516323E-3</v>
      </c>
    </row>
    <row r="15" spans="1:31">
      <c r="A15">
        <f t="shared" ref="A15:A22" si="3">+A14+12</f>
        <v>24</v>
      </c>
      <c r="B15" s="11">
        <f>+'Inc Tria'!C47</f>
        <v>1.2094894998291805</v>
      </c>
      <c r="C15">
        <f t="shared" si="0"/>
        <v>0.82679510664725298</v>
      </c>
      <c r="D15">
        <f>1-C15</f>
        <v>0.17320489335274702</v>
      </c>
      <c r="E15">
        <f>+LN(D15)</f>
        <v>-1.7532800306388869</v>
      </c>
      <c r="F15">
        <f>+LN(-E15)</f>
        <v>0.56148833684309563</v>
      </c>
      <c r="G15">
        <f>+LN(A15)</f>
        <v>3.1780538303479458</v>
      </c>
      <c r="H15">
        <f t="shared" ref="H15:H22" si="4">1-EXP(-G$26*(A15^G$27))</f>
        <v>0.83083029938301789</v>
      </c>
      <c r="R15" s="33"/>
      <c r="S15" s="33"/>
      <c r="T15" s="33"/>
      <c r="U15" s="33"/>
      <c r="V15" s="33"/>
      <c r="W15" s="33"/>
      <c r="X15" s="33"/>
      <c r="Y15" s="33"/>
      <c r="Z15" s="33"/>
      <c r="AA15" s="33"/>
      <c r="AB15" s="33"/>
      <c r="AC15" s="33"/>
    </row>
    <row r="16" spans="1:31">
      <c r="A16">
        <f t="shared" si="3"/>
        <v>36</v>
      </c>
      <c r="B16" s="11">
        <f>+'Inc Tria'!D47</f>
        <v>1.1312106248329674</v>
      </c>
      <c r="C16">
        <f t="shared" si="0"/>
        <v>0.88400867004556138</v>
      </c>
      <c r="H16">
        <f t="shared" si="4"/>
        <v>0.87467180379406517</v>
      </c>
      <c r="I16">
        <f>+C15+(C17-C15)*(H16-H15)/(H17-H15)</f>
        <v>0.87639389537980994</v>
      </c>
      <c r="J16" s="11">
        <f>+B16</f>
        <v>1.1312106248329674</v>
      </c>
      <c r="K16">
        <f t="shared" si="1"/>
        <v>1.1410394404523116</v>
      </c>
      <c r="L16">
        <f>+SQRT(B15*B17)</f>
        <v>1.1547824918358836</v>
      </c>
      <c r="M16">
        <f>0.5*(B15+B17)</f>
        <v>1.1560197314828593</v>
      </c>
      <c r="N16">
        <f>2/(C15+C17)</f>
        <v>1.1535465763548391</v>
      </c>
      <c r="O16">
        <f>1/SQRT(C15*C16)</f>
        <v>1.1696954188294835</v>
      </c>
      <c r="P16">
        <f>1/H16</f>
        <v>1.1432859681337599</v>
      </c>
      <c r="Q16">
        <f>+IF(H16&gt;C17,1,IF(H16&lt;C15,1,0))</f>
        <v>0</v>
      </c>
      <c r="R16" s="32">
        <f>+((K16-$B16)/$B16)^2</f>
        <v>7.5494519471296524E-5</v>
      </c>
      <c r="S16" s="32">
        <f t="shared" ref="S16:W16" si="5">+((L16-$B16)/$B16)^2</f>
        <v>4.342111915842432E-4</v>
      </c>
      <c r="T16" s="32">
        <f t="shared" si="5"/>
        <v>4.8098917347681459E-4</v>
      </c>
      <c r="U16" s="32">
        <f t="shared" si="5"/>
        <v>3.8987192784511679E-4</v>
      </c>
      <c r="V16" s="32">
        <f t="shared" si="5"/>
        <v>1.1574210623901428E-3</v>
      </c>
      <c r="W16" s="32">
        <f t="shared" si="5"/>
        <v>1.139493945504714E-4</v>
      </c>
      <c r="X16" s="32">
        <f>+((K16-$B16)/($B16-1))^2</f>
        <v>5.6113113796797277E-3</v>
      </c>
      <c r="Y16" s="32">
        <f t="shared" ref="Y16:AC16" si="6">+((L16-$B16)/($B16-1))^2</f>
        <v>3.2273789111901395E-2</v>
      </c>
      <c r="Z16" s="32">
        <f t="shared" si="6"/>
        <v>3.5750674903750675E-2</v>
      </c>
      <c r="AA16" s="32">
        <f t="shared" si="6"/>
        <v>2.8978166900800684E-2</v>
      </c>
      <c r="AB16" s="32">
        <f t="shared" si="6"/>
        <v>8.6028098780602413E-2</v>
      </c>
      <c r="AC16" s="32">
        <f t="shared" si="6"/>
        <v>8.4695622785145534E-3</v>
      </c>
    </row>
    <row r="17" spans="1:31">
      <c r="A17">
        <f t="shared" si="3"/>
        <v>48</v>
      </c>
      <c r="B17" s="11">
        <f>+'Inc Tria'!E47</f>
        <v>1.1025499631365379</v>
      </c>
      <c r="C17">
        <f t="shared" si="0"/>
        <v>0.90698837552467615</v>
      </c>
      <c r="D17">
        <f>1-C17</f>
        <v>9.3011624475323851E-2</v>
      </c>
      <c r="E17">
        <f>+LN(D17)</f>
        <v>-2.3750307992817041</v>
      </c>
      <c r="F17">
        <f>+LN(-E17)</f>
        <v>0.86501040552113151</v>
      </c>
      <c r="G17">
        <f>+LN(A17)</f>
        <v>3.8712010109078911</v>
      </c>
      <c r="H17">
        <f t="shared" si="4"/>
        <v>0.90171496493772452</v>
      </c>
    </row>
    <row r="18" spans="1:31">
      <c r="A18">
        <f t="shared" si="3"/>
        <v>60</v>
      </c>
      <c r="B18" s="11">
        <f>+'Inc Tria'!F47</f>
        <v>1.0827970154455833</v>
      </c>
      <c r="C18">
        <f t="shared" si="0"/>
        <v>0.92353413034527865</v>
      </c>
      <c r="H18">
        <f t="shared" si="4"/>
        <v>0.92016900843869642</v>
      </c>
      <c r="I18">
        <f>+C17+(C19-C17)*(H18-H17)/(H19-H17)</f>
        <v>0.92319071391337559</v>
      </c>
      <c r="J18" s="11">
        <f>+B18</f>
        <v>1.0827970154455833</v>
      </c>
      <c r="K18">
        <f t="shared" si="1"/>
        <v>1.0831998036039945</v>
      </c>
      <c r="L18">
        <f>+SQRT(B17*B19)</f>
        <v>1.0859367813003893</v>
      </c>
      <c r="M18">
        <f>0.5*(B17+B19)</f>
        <v>1.0860619447033861</v>
      </c>
      <c r="N18">
        <f>2/(C17+C19)</f>
        <v>1.0858116323218707</v>
      </c>
      <c r="O18">
        <f>1/SQRT(C17*C18)</f>
        <v>1.0926288525679162</v>
      </c>
      <c r="P18">
        <f>1/H18</f>
        <v>1.0867568792571676</v>
      </c>
      <c r="Q18">
        <f>+IF(H18&gt;C19,1,IF(H18&lt;C17,1,0))</f>
        <v>0</v>
      </c>
      <c r="R18" s="32">
        <f>+((K18-$B18)/$B18)^2</f>
        <v>1.3837552715390469E-7</v>
      </c>
      <c r="S18" s="32">
        <f t="shared" ref="S18:W18" si="7">+((L18-$B18)/$B18)^2</f>
        <v>8.4081494854020635E-6</v>
      </c>
      <c r="T18" s="32">
        <f t="shared" si="7"/>
        <v>9.091874899403711E-6</v>
      </c>
      <c r="U18" s="32">
        <f t="shared" si="7"/>
        <v>7.7512215808436791E-6</v>
      </c>
      <c r="V18" s="32">
        <f t="shared" si="7"/>
        <v>8.2447074581278157E-5</v>
      </c>
      <c r="W18" s="32">
        <f t="shared" si="7"/>
        <v>1.3374156461230989E-5</v>
      </c>
      <c r="X18" s="32">
        <f>+((K18-$B18)/($B18-1))^2</f>
        <v>2.3665954435801915E-5</v>
      </c>
      <c r="Y18" s="32">
        <f t="shared" ref="Y18:AC18" si="8">+((L18-$B18)/($B18-1))^2</f>
        <v>1.4380207736417031E-3</v>
      </c>
      <c r="Z18" s="32">
        <f t="shared" si="8"/>
        <v>1.5549562956026486E-3</v>
      </c>
      <c r="AA18" s="32">
        <f t="shared" si="8"/>
        <v>1.3256683499389631E-3</v>
      </c>
      <c r="AB18" s="32">
        <f t="shared" si="8"/>
        <v>1.4100677703186133E-2</v>
      </c>
      <c r="AC18" s="32">
        <f t="shared" si="8"/>
        <v>2.2873421618603527E-3</v>
      </c>
    </row>
    <row r="19" spans="1:31">
      <c r="A19">
        <f t="shared" si="3"/>
        <v>72</v>
      </c>
      <c r="B19" s="11">
        <f>+'Inc Tria'!G47</f>
        <v>1.0695739262702346</v>
      </c>
      <c r="C19">
        <f t="shared" si="0"/>
        <v>0.93495173679780197</v>
      </c>
      <c r="D19">
        <f>1-C19</f>
        <v>6.5048263202198031E-2</v>
      </c>
      <c r="E19">
        <f>+LN(D19)</f>
        <v>-2.7326257738082211</v>
      </c>
      <c r="F19">
        <f>+LN(-E19)</f>
        <v>1.005262968850331</v>
      </c>
      <c r="G19">
        <f>+LN(A19)</f>
        <v>4.2766661190160553</v>
      </c>
      <c r="H19">
        <f t="shared" si="4"/>
        <v>0.93356450868800045</v>
      </c>
    </row>
    <row r="20" spans="1:31">
      <c r="A20">
        <f t="shared" si="3"/>
        <v>84</v>
      </c>
      <c r="B20" s="11">
        <f>+'Inc Tria'!H47</f>
        <v>1.061937194323892</v>
      </c>
      <c r="C20">
        <f t="shared" si="0"/>
        <v>0.94167527547302288</v>
      </c>
      <c r="H20">
        <f t="shared" si="4"/>
        <v>0.94370772353932286</v>
      </c>
      <c r="I20">
        <f>+C19+(C21-C19)*(H20-H19)/(H21-H19)</f>
        <v>0.9428176202097388</v>
      </c>
      <c r="J20" s="11">
        <f>+B20</f>
        <v>1.061937194323892</v>
      </c>
      <c r="K20">
        <f t="shared" ref="K20:K22" si="9">1/I20</f>
        <v>1.0606505209114998</v>
      </c>
      <c r="L20">
        <f>+SQRT(B19*B21)</f>
        <v>1.0616496170031329</v>
      </c>
      <c r="M20">
        <f>0.5*(B19+B21)</f>
        <v>1.0616789719994628</v>
      </c>
      <c r="N20">
        <f>2/(C19+C21)</f>
        <v>1.0616202628184566</v>
      </c>
      <c r="O20">
        <f>1/SQRT(C19*C20)</f>
        <v>1.0657487200955966</v>
      </c>
      <c r="P20">
        <f>1/H20</f>
        <v>1.0596501173578998</v>
      </c>
      <c r="Q20">
        <f>+IF(H20&gt;C21,1,IF(H20&lt;C19,1,0))</f>
        <v>0</v>
      </c>
      <c r="R20" s="32">
        <f>+((K20-$B20)/$B20)^2</f>
        <v>1.4680437190836418E-6</v>
      </c>
      <c r="S20" s="32">
        <f t="shared" ref="S20:W20" si="10">+((L20-$B20)/$B20)^2</f>
        <v>7.3335051626867036E-8</v>
      </c>
      <c r="T20" s="32">
        <f t="shared" si="10"/>
        <v>5.9127553253812971E-8</v>
      </c>
      <c r="U20" s="32">
        <f t="shared" si="10"/>
        <v>8.9070350779681879E-8</v>
      </c>
      <c r="V20" s="32">
        <f t="shared" si="10"/>
        <v>1.2882497200938759E-5</v>
      </c>
      <c r="W20" s="32">
        <f t="shared" si="10"/>
        <v>4.6383540481263973E-6</v>
      </c>
      <c r="X20" s="32">
        <f>+((K20-$B20)/($B20-1))^2</f>
        <v>4.3155246018109189E-4</v>
      </c>
      <c r="Y20" s="32">
        <f t="shared" ref="Y20:AC20" si="11">+((L20-$B20)/($B20-1))^2</f>
        <v>2.1557887912790907E-5</v>
      </c>
      <c r="Z20" s="32">
        <f t="shared" si="11"/>
        <v>1.7381390444624557E-5</v>
      </c>
      <c r="AA20" s="32">
        <f t="shared" si="11"/>
        <v>2.6183504284298852E-5</v>
      </c>
      <c r="AB20" s="32">
        <f t="shared" si="11"/>
        <v>3.7869944117273268E-3</v>
      </c>
      <c r="AC20" s="32">
        <f t="shared" si="11"/>
        <v>1.3635105512452568E-3</v>
      </c>
    </row>
    <row r="21" spans="1:31">
      <c r="A21">
        <f t="shared" si="3"/>
        <v>96</v>
      </c>
      <c r="B21" s="11">
        <f>+'Inc Tria'!I47</f>
        <v>1.053784017728691</v>
      </c>
      <c r="C21">
        <f t="shared" si="0"/>
        <v>0.94896106144728198</v>
      </c>
      <c r="D21">
        <f>1-C21</f>
        <v>5.1038938552718016E-2</v>
      </c>
      <c r="E21">
        <f>+LN(D21)</f>
        <v>-2.975166436542767</v>
      </c>
      <c r="F21">
        <f>+LN(-E21)</f>
        <v>1.0902999824891191</v>
      </c>
      <c r="G21">
        <f>+LN(A21)</f>
        <v>4.5643481914678361</v>
      </c>
      <c r="H21">
        <f t="shared" si="4"/>
        <v>0.95162981456654439</v>
      </c>
    </row>
    <row r="22" spans="1:31">
      <c r="A22">
        <f t="shared" si="3"/>
        <v>108</v>
      </c>
      <c r="B22" s="11">
        <f>+'Inc Tria'!J47</f>
        <v>1.0460134885779799</v>
      </c>
      <c r="C22">
        <f t="shared" si="0"/>
        <v>0.9560106164208898</v>
      </c>
      <c r="H22">
        <f t="shared" si="4"/>
        <v>0.95796617124214034</v>
      </c>
      <c r="I22">
        <f>+C21+(1-C21)*(H22-H21)/(1-H21)</f>
        <v>0.95564701718873268</v>
      </c>
      <c r="J22" s="11">
        <f>+B22</f>
        <v>1.0460134885779799</v>
      </c>
      <c r="K22">
        <f t="shared" si="9"/>
        <v>1.0464114699397506</v>
      </c>
      <c r="P22">
        <f>1/H22</f>
        <v>1.0438781973932929</v>
      </c>
      <c r="Q22">
        <f>IF(H22&lt;C21,1,0)</f>
        <v>0</v>
      </c>
      <c r="R22" s="32">
        <f>+((K22-$B22)/$B22)^2</f>
        <v>1.4476077437473271E-7</v>
      </c>
      <c r="S22" s="32"/>
      <c r="T22" s="32"/>
      <c r="U22" s="32"/>
      <c r="V22" s="32"/>
      <c r="W22" s="32">
        <f t="shared" ref="W22" si="12">+((P22-$B22)/$B22)^2</f>
        <v>4.1671549026143435E-6</v>
      </c>
      <c r="X22" s="32">
        <f>+((K22-$B22)/($B22-1))^2</f>
        <v>7.4809223186305112E-5</v>
      </c>
      <c r="Y22" s="32"/>
      <c r="Z22" s="32"/>
      <c r="AA22" s="32"/>
      <c r="AB22" s="32"/>
      <c r="AC22" s="32">
        <f>+((P22-$B22)/($B22-1))^2</f>
        <v>2.1534951198492274E-3</v>
      </c>
    </row>
    <row r="24" spans="1:31">
      <c r="E24" t="s">
        <v>37</v>
      </c>
    </row>
    <row r="25" spans="1:31">
      <c r="E25" s="90" t="s">
        <v>203</v>
      </c>
      <c r="G25">
        <f>+INTERCEPT(F15:F21,G15:G21)</f>
        <v>-0.64784280229665692</v>
      </c>
      <c r="R25" s="33"/>
      <c r="S25" s="33"/>
      <c r="T25" s="33"/>
      <c r="U25" s="33"/>
      <c r="V25" s="33"/>
      <c r="W25" s="33"/>
    </row>
    <row r="26" spans="1:31">
      <c r="E26" s="63" t="s">
        <v>38</v>
      </c>
      <c r="G26">
        <f>+EXP(G25)</f>
        <v>0.52317314825609951</v>
      </c>
    </row>
    <row r="27" spans="1:31">
      <c r="E27" s="19" t="s">
        <v>39</v>
      </c>
      <c r="G27">
        <f>+SLOPE(F15:F21,G15:G21)</f>
        <v>0.38472809016082543</v>
      </c>
    </row>
    <row r="30" spans="1:31">
      <c r="B30" s="6"/>
      <c r="C30" s="31" t="s">
        <v>145</v>
      </c>
      <c r="D30" s="6"/>
      <c r="E30" s="6"/>
      <c r="F30" s="6"/>
      <c r="G30" s="6"/>
      <c r="H30" s="6"/>
      <c r="I30" s="6"/>
      <c r="J30" s="6"/>
      <c r="K30" s="6"/>
      <c r="L30" s="6"/>
      <c r="M30" s="6"/>
      <c r="N30" s="6"/>
      <c r="O30" s="6"/>
    </row>
    <row r="31" spans="1:31">
      <c r="A31" s="6"/>
      <c r="B31" s="6"/>
      <c r="C31" s="6"/>
      <c r="D31" s="6"/>
      <c r="E31" s="6"/>
      <c r="F31" s="6"/>
      <c r="G31" s="6"/>
      <c r="H31" s="6"/>
      <c r="I31" s="6"/>
      <c r="J31" s="6"/>
      <c r="K31" s="6"/>
      <c r="L31" s="6"/>
      <c r="M31" s="6"/>
      <c r="N31" s="6"/>
      <c r="O31" s="6"/>
    </row>
    <row r="32" spans="1:31">
      <c r="A32" s="6"/>
      <c r="B32" s="6"/>
      <c r="C32" s="6"/>
      <c r="D32" s="6"/>
      <c r="E32" s="6"/>
      <c r="F32" s="6"/>
      <c r="G32" s="6"/>
      <c r="H32" s="6" t="s">
        <v>5</v>
      </c>
      <c r="I32" s="6" t="s">
        <v>6</v>
      </c>
      <c r="J32" s="6"/>
      <c r="K32" s="6" t="s">
        <v>6</v>
      </c>
      <c r="L32" s="6"/>
      <c r="M32" s="6"/>
      <c r="N32" s="6" t="s">
        <v>136</v>
      </c>
      <c r="O32" s="6" t="s">
        <v>134</v>
      </c>
      <c r="Q32" s="6" t="s">
        <v>8</v>
      </c>
      <c r="R32" s="31" t="s">
        <v>142</v>
      </c>
      <c r="X32" s="92" t="s">
        <v>225</v>
      </c>
      <c r="AE32" t="s">
        <v>149</v>
      </c>
    </row>
    <row r="33" spans="1:31">
      <c r="A33" s="6"/>
      <c r="B33" s="6"/>
      <c r="C33" s="8" t="s">
        <v>7</v>
      </c>
      <c r="D33" s="8" t="s">
        <v>7</v>
      </c>
      <c r="E33" s="6"/>
      <c r="F33" s="6"/>
      <c r="G33" s="6"/>
      <c r="H33" s="6" t="s">
        <v>8</v>
      </c>
      <c r="I33" s="8" t="s">
        <v>7</v>
      </c>
      <c r="J33" s="35" t="s">
        <v>154</v>
      </c>
      <c r="K33" s="6" t="s">
        <v>152</v>
      </c>
      <c r="L33" s="6" t="s">
        <v>134</v>
      </c>
      <c r="M33" s="6" t="s">
        <v>136</v>
      </c>
      <c r="N33" s="6" t="s">
        <v>153</v>
      </c>
      <c r="O33" s="6" t="s">
        <v>153</v>
      </c>
      <c r="P33" s="6" t="s">
        <v>137</v>
      </c>
      <c r="Q33" s="6" t="s">
        <v>138</v>
      </c>
      <c r="R33" s="6" t="s">
        <v>140</v>
      </c>
      <c r="S33" s="6" t="s">
        <v>134</v>
      </c>
      <c r="T33" s="6" t="s">
        <v>136</v>
      </c>
      <c r="U33" s="6" t="s">
        <v>136</v>
      </c>
      <c r="V33" s="6" t="s">
        <v>134</v>
      </c>
      <c r="W33" s="6" t="s">
        <v>137</v>
      </c>
      <c r="X33" s="6" t="s">
        <v>140</v>
      </c>
      <c r="Y33" s="41" t="s">
        <v>134</v>
      </c>
      <c r="Z33" s="41" t="s">
        <v>136</v>
      </c>
      <c r="AA33" s="6" t="s">
        <v>136</v>
      </c>
      <c r="AB33" s="6" t="s">
        <v>134</v>
      </c>
      <c r="AC33" s="6" t="s">
        <v>137</v>
      </c>
      <c r="AD33" t="s">
        <v>147</v>
      </c>
      <c r="AE33" s="6" t="s">
        <v>150</v>
      </c>
    </row>
    <row r="34" spans="1:31">
      <c r="A34" s="6" t="s">
        <v>10</v>
      </c>
      <c r="B34" s="6" t="s">
        <v>11</v>
      </c>
      <c r="C34" s="91" t="s">
        <v>224</v>
      </c>
      <c r="D34" s="6" t="s">
        <v>13</v>
      </c>
      <c r="E34" s="6" t="s">
        <v>14</v>
      </c>
      <c r="F34" s="6" t="s">
        <v>15</v>
      </c>
      <c r="G34" s="6" t="s">
        <v>16</v>
      </c>
      <c r="H34" s="6" t="s">
        <v>17</v>
      </c>
      <c r="I34" s="6" t="str">
        <f>+I11</f>
        <v>Incurred</v>
      </c>
      <c r="J34" s="35" t="s">
        <v>155</v>
      </c>
      <c r="K34" s="6" t="s">
        <v>11</v>
      </c>
      <c r="L34" s="6" t="s">
        <v>135</v>
      </c>
      <c r="M34" s="6" t="s">
        <v>135</v>
      </c>
      <c r="N34" s="6" t="s">
        <v>135</v>
      </c>
      <c r="O34" s="6" t="s">
        <v>135</v>
      </c>
      <c r="P34" s="6" t="s">
        <v>8</v>
      </c>
      <c r="Q34" s="6" t="s">
        <v>139</v>
      </c>
      <c r="R34" s="6" t="s">
        <v>8</v>
      </c>
      <c r="S34" s="23" t="s">
        <v>135</v>
      </c>
      <c r="T34" s="23" t="s">
        <v>135</v>
      </c>
      <c r="U34" s="6" t="s">
        <v>153</v>
      </c>
      <c r="V34" s="6" t="s">
        <v>153</v>
      </c>
      <c r="W34" s="23" t="s">
        <v>8</v>
      </c>
      <c r="X34" s="6" t="s">
        <v>8</v>
      </c>
      <c r="Y34" s="45" t="s">
        <v>135</v>
      </c>
      <c r="Z34" s="45" t="s">
        <v>135</v>
      </c>
      <c r="AA34" s="6" t="s">
        <v>153</v>
      </c>
      <c r="AB34" s="6" t="s">
        <v>153</v>
      </c>
      <c r="AC34" s="23" t="s">
        <v>8</v>
      </c>
      <c r="AD34" t="s">
        <v>148</v>
      </c>
      <c r="AE34" t="s">
        <v>151</v>
      </c>
    </row>
    <row r="36" spans="1:31">
      <c r="A36">
        <v>0</v>
      </c>
      <c r="C36">
        <v>0</v>
      </c>
      <c r="D36">
        <v>0</v>
      </c>
      <c r="H36">
        <f>1-EXP(-G$49*(A36^G$50))</f>
        <v>0</v>
      </c>
      <c r="K36" t="s">
        <v>22</v>
      </c>
      <c r="AD36" s="34">
        <f>+((H37-C37)^2+(H39-C39)^2+(H41-C41)^2+(H43-C43)^2+(H45-C45)^2)*0.2</f>
        <v>1.8431696945676633E-5</v>
      </c>
      <c r="AE36" s="34">
        <f>+SQRT(MAX((H37-C37)^2,(H39-C39)^2,(H41-C41)^2,(H43-C43)^2,(H45-C45)^2))</f>
        <v>6.9597285944007492E-3</v>
      </c>
    </row>
    <row r="37" spans="1:31">
      <c r="A37">
        <v>12</v>
      </c>
      <c r="B37" s="11">
        <f>+B14</f>
        <v>1.3417209746889966</v>
      </c>
      <c r="C37">
        <f t="shared" ref="C37:C45" si="13">1/B37</f>
        <v>0.74531144616845124</v>
      </c>
      <c r="D37">
        <f>1-C37</f>
        <v>0.25468855383154876</v>
      </c>
      <c r="E37">
        <f>+LN(D37)</f>
        <v>-1.3677138378120113</v>
      </c>
      <c r="F37">
        <f>+LN(-E37)</f>
        <v>0.3131406144326106</v>
      </c>
      <c r="G37">
        <f>+LN(A37)</f>
        <v>2.4849066497880004</v>
      </c>
      <c r="H37">
        <f t="shared" ref="H37:H45" si="14">1-EXP(-G$49*(A37^G$50))</f>
        <v>0.75078611336989898</v>
      </c>
      <c r="R37" s="32"/>
      <c r="S37" s="32"/>
      <c r="T37" s="32"/>
      <c r="U37" s="32"/>
      <c r="V37" s="32"/>
      <c r="W37" s="32"/>
      <c r="X37" s="32"/>
      <c r="Y37" s="32"/>
      <c r="Z37" s="32"/>
      <c r="AA37" s="32"/>
      <c r="AB37" s="32"/>
      <c r="AC37" s="32"/>
    </row>
    <row r="38" spans="1:31">
      <c r="A38">
        <f t="shared" ref="A38:A45" si="15">+A37+12</f>
        <v>24</v>
      </c>
      <c r="B38" s="11">
        <f t="shared" ref="B38:B45" si="16">+B15</f>
        <v>1.2094894998291805</v>
      </c>
      <c r="C38">
        <f t="shared" si="13"/>
        <v>0.82679510664725298</v>
      </c>
      <c r="H38">
        <f t="shared" si="14"/>
        <v>0.83484982092833393</v>
      </c>
      <c r="I38">
        <f>+C37+(C39-C37)*(H38-H37)/(H39-H37)</f>
        <v>0.83765376927615387</v>
      </c>
      <c r="J38" s="11">
        <f>+B38</f>
        <v>1.2094894998291805</v>
      </c>
      <c r="K38">
        <f t="shared" ref="K38" si="17">1/I38</f>
        <v>1.193810661013482</v>
      </c>
      <c r="L38">
        <f>+SQRT(B37*B39)</f>
        <v>1.2319776873504804</v>
      </c>
      <c r="M38">
        <f>0.5*(B37+B39)</f>
        <v>1.236465799760982</v>
      </c>
      <c r="N38">
        <f>2/(C37+C39)</f>
        <v>1.227505865849936</v>
      </c>
      <c r="O38">
        <f>1/SQRT(C37*C38)</f>
        <v>1.2738906666535064</v>
      </c>
      <c r="P38">
        <f>1/H38</f>
        <v>1.1978202245860494</v>
      </c>
      <c r="Q38">
        <f>+IF(H38&gt;C39,1,IF(H38&lt;C37,1,0))</f>
        <v>0</v>
      </c>
      <c r="R38" s="32">
        <f>+((K38-$B38)/$B38)^2</f>
        <v>1.6804422266044841E-4</v>
      </c>
      <c r="S38" s="32">
        <f t="shared" ref="S38:W38" si="18">+((L38-$B38)/$B38)^2</f>
        <v>3.45704237766756E-4</v>
      </c>
      <c r="T38" s="32">
        <f t="shared" si="18"/>
        <v>4.9746274094458775E-4</v>
      </c>
      <c r="U38" s="32">
        <f t="shared" si="18"/>
        <v>2.2188614659113121E-4</v>
      </c>
      <c r="V38" s="32">
        <f t="shared" si="18"/>
        <v>2.8351971733930146E-3</v>
      </c>
      <c r="W38" s="32">
        <f t="shared" si="18"/>
        <v>9.308582722567348E-5</v>
      </c>
      <c r="X38" s="32">
        <f>+((K38-$B38)/($B38-1))^2</f>
        <v>5.6014862100482333E-3</v>
      </c>
      <c r="Y38" s="32">
        <f t="shared" ref="Y38:AC38" si="19">+((L38-$B38)/($B38-1))^2</f>
        <v>1.1523499528564822E-2</v>
      </c>
      <c r="Z38" s="32">
        <f t="shared" si="19"/>
        <v>1.6582127247804241E-2</v>
      </c>
      <c r="AA38" s="32">
        <f t="shared" si="19"/>
        <v>7.396220891463556E-3</v>
      </c>
      <c r="AB38" s="32">
        <f t="shared" si="19"/>
        <v>9.4506776954888988E-2</v>
      </c>
      <c r="AC38" s="32">
        <f t="shared" si="19"/>
        <v>3.1028676219897549E-3</v>
      </c>
    </row>
    <row r="39" spans="1:31">
      <c r="A39">
        <f t="shared" si="15"/>
        <v>36</v>
      </c>
      <c r="B39" s="11">
        <f t="shared" si="16"/>
        <v>1.1312106248329674</v>
      </c>
      <c r="C39">
        <f t="shared" si="13"/>
        <v>0.88400867004556138</v>
      </c>
      <c r="D39">
        <f>1-C39</f>
        <v>0.11599132995443862</v>
      </c>
      <c r="E39">
        <f>+LN(D39)</f>
        <v>-2.1542398324411587</v>
      </c>
      <c r="F39">
        <f>+LN(-E39)</f>
        <v>0.76743791535923822</v>
      </c>
      <c r="G39">
        <f>+LN(A39)</f>
        <v>3.5835189384561099</v>
      </c>
      <c r="H39">
        <f t="shared" si="14"/>
        <v>0.87704894145116064</v>
      </c>
      <c r="R39" s="32"/>
      <c r="S39" s="32"/>
      <c r="T39" s="32"/>
      <c r="U39" s="32"/>
      <c r="V39" s="32"/>
      <c r="W39" s="32"/>
      <c r="X39" s="32"/>
      <c r="Y39" s="32"/>
      <c r="Z39" s="32"/>
      <c r="AA39" s="32"/>
      <c r="AB39" s="32"/>
      <c r="AC39" s="32"/>
    </row>
    <row r="40" spans="1:31">
      <c r="A40">
        <f t="shared" si="15"/>
        <v>48</v>
      </c>
      <c r="B40" s="11">
        <f t="shared" si="16"/>
        <v>1.1025499631365379</v>
      </c>
      <c r="C40">
        <f t="shared" si="13"/>
        <v>0.90698837552467615</v>
      </c>
      <c r="H40">
        <f t="shared" si="14"/>
        <v>0.90311213009262248</v>
      </c>
      <c r="I40">
        <f>+C39+(C41-C39)*(H40-H39)/(H41-H39)</f>
        <v>0.90748229143561188</v>
      </c>
      <c r="J40" s="11">
        <f>+B40</f>
        <v>1.1025499631365379</v>
      </c>
      <c r="K40">
        <f t="shared" ref="K40" si="20">1/I40</f>
        <v>1.1019498776312513</v>
      </c>
      <c r="L40">
        <f>+SQRT(B39*B41)</f>
        <v>1.1067391239174074</v>
      </c>
      <c r="M40">
        <f>0.5*(B39+B41)</f>
        <v>1.1070038201392753</v>
      </c>
      <c r="N40">
        <f>2/(C39+C41)</f>
        <v>1.1064744909871818</v>
      </c>
      <c r="O40">
        <f>1/SQRT(C39*C40)</f>
        <v>1.1167883562740293</v>
      </c>
      <c r="P40">
        <f>1/H40</f>
        <v>1.1072822152188797</v>
      </c>
      <c r="Q40">
        <f>+IF(H40&gt;C41,1,IF(H40&lt;C39,1,0))</f>
        <v>0</v>
      </c>
      <c r="R40" s="32">
        <f>+((K40-$B40)/$B40)^2</f>
        <v>2.9623046165819741E-7</v>
      </c>
      <c r="S40" s="32">
        <f t="shared" ref="S40:W40" si="21">+((L40-$B40)/$B40)^2</f>
        <v>1.4436353229312947E-5</v>
      </c>
      <c r="T40" s="32">
        <f t="shared" si="21"/>
        <v>1.6318340106865013E-5</v>
      </c>
      <c r="U40" s="32">
        <f t="shared" si="21"/>
        <v>1.2670048365354179E-5</v>
      </c>
      <c r="V40" s="32">
        <f t="shared" si="21"/>
        <v>1.6677286979684808E-4</v>
      </c>
      <c r="W40" s="32">
        <f t="shared" si="21"/>
        <v>1.8422102054605473E-5</v>
      </c>
      <c r="X40" s="32">
        <f>+((K40-$B40)/($B40-1))^2</f>
        <v>3.4241695140188785E-5</v>
      </c>
      <c r="Y40" s="32">
        <f t="shared" ref="Y40:AC40" si="22">+((L40-$B40)/($B40-1))^2</f>
        <v>1.6687183466789653E-3</v>
      </c>
      <c r="Z40" s="32">
        <f t="shared" si="22"/>
        <v>1.8862598532419534E-3</v>
      </c>
      <c r="AA40" s="32">
        <f t="shared" si="22"/>
        <v>1.4645486865509857E-3</v>
      </c>
      <c r="AB40" s="32">
        <f t="shared" si="22"/>
        <v>1.9277510264380487E-2</v>
      </c>
      <c r="AC40" s="32">
        <f t="shared" si="22"/>
        <v>2.1294366516671505E-3</v>
      </c>
    </row>
    <row r="41" spans="1:31">
      <c r="A41">
        <f t="shared" si="15"/>
        <v>60</v>
      </c>
      <c r="B41" s="11">
        <f t="shared" si="16"/>
        <v>1.0827970154455833</v>
      </c>
      <c r="C41">
        <f t="shared" si="13"/>
        <v>0.92353413034527865</v>
      </c>
      <c r="D41">
        <f>1-C41</f>
        <v>7.6465869654721352E-2</v>
      </c>
      <c r="E41">
        <f>+LN(D41)</f>
        <v>-2.5709107860077092</v>
      </c>
      <c r="F41">
        <f>+LN(-E41)</f>
        <v>0.94426022756800199</v>
      </c>
      <c r="G41">
        <f>+LN(A41)</f>
        <v>4.0943445622221004</v>
      </c>
      <c r="H41">
        <f t="shared" si="14"/>
        <v>0.92093477869861595</v>
      </c>
    </row>
    <row r="42" spans="1:31">
      <c r="A42">
        <f t="shared" si="15"/>
        <v>72</v>
      </c>
      <c r="B42" s="11">
        <f t="shared" si="16"/>
        <v>1.0695739262702346</v>
      </c>
      <c r="C42">
        <f t="shared" si="13"/>
        <v>0.93495173679780197</v>
      </c>
      <c r="H42">
        <f t="shared" si="14"/>
        <v>0.93390410322360162</v>
      </c>
      <c r="I42">
        <f>+C41+(C43-C41)*(H42-H41)/(H43-H41)</f>
        <v>0.93384604585466835</v>
      </c>
      <c r="J42" s="11">
        <f>+B42</f>
        <v>1.0695739262702346</v>
      </c>
      <c r="K42">
        <f t="shared" ref="K42" si="23">1/I42</f>
        <v>1.0708403215272884</v>
      </c>
      <c r="L42">
        <f>+SQRT(B41*B43)</f>
        <v>1.0723163826989526</v>
      </c>
      <c r="M42">
        <f>0.5*(B41+B43)</f>
        <v>1.0723671048847376</v>
      </c>
      <c r="N42">
        <f>2/(C41+C43)</f>
        <v>1.0722656629122902</v>
      </c>
      <c r="O42">
        <f>1/SQRT(C41*C42)</f>
        <v>1.0761651616568084</v>
      </c>
      <c r="P42">
        <f>1/H42</f>
        <v>1.0707737513394062</v>
      </c>
      <c r="Q42">
        <f>+IF(H42&gt;C43,1,IF(H42&lt;C41,1,0))</f>
        <v>0</v>
      </c>
      <c r="R42" s="32">
        <f>+((K42-$B42)/$B42)^2</f>
        <v>1.4018996782302131E-6</v>
      </c>
      <c r="S42" s="32">
        <f t="shared" ref="S42:W42" si="24">+((L42-$B42)/$B42)^2</f>
        <v>6.5744262531018823E-6</v>
      </c>
      <c r="T42" s="32">
        <f t="shared" si="24"/>
        <v>6.8198653791342484E-6</v>
      </c>
      <c r="U42" s="32">
        <f t="shared" si="24"/>
        <v>6.3334962601533468E-6</v>
      </c>
      <c r="V42" s="32">
        <f t="shared" si="24"/>
        <v>3.79762456840175E-5</v>
      </c>
      <c r="W42" s="32">
        <f t="shared" si="24"/>
        <v>1.2583870754742443E-6</v>
      </c>
      <c r="X42" s="32">
        <f>+((K42-$B42)/($B42-1))^2</f>
        <v>3.313183771173219E-4</v>
      </c>
      <c r="Y42" s="32">
        <f t="shared" ref="Y42:AC42" si="25">+((L42-$B42)/($B42-1))^2</f>
        <v>1.5537689825316679E-3</v>
      </c>
      <c r="Z42" s="32">
        <f t="shared" si="25"/>
        <v>1.6117749113302214E-3</v>
      </c>
      <c r="AA42" s="32">
        <f t="shared" si="25"/>
        <v>1.4968287210406542E-3</v>
      </c>
      <c r="AB42" s="32">
        <f t="shared" si="25"/>
        <v>8.9751273107655169E-3</v>
      </c>
      <c r="AC42" s="32">
        <f t="shared" si="25"/>
        <v>2.9740128349118125E-4</v>
      </c>
    </row>
    <row r="43" spans="1:31">
      <c r="A43">
        <f t="shared" si="15"/>
        <v>84</v>
      </c>
      <c r="B43" s="11">
        <f t="shared" si="16"/>
        <v>1.061937194323892</v>
      </c>
      <c r="C43">
        <f t="shared" si="13"/>
        <v>0.94167527547302288</v>
      </c>
      <c r="D43">
        <f>1-C43</f>
        <v>5.8324724526977123E-2</v>
      </c>
      <c r="E43">
        <f>+LN(D43)</f>
        <v>-2.841729184155199</v>
      </c>
      <c r="F43">
        <f>+LN(-E43)</f>
        <v>1.0444127345486875</v>
      </c>
      <c r="G43">
        <f>+LN(A43)</f>
        <v>4.4308167988433134</v>
      </c>
      <c r="H43">
        <f t="shared" si="14"/>
        <v>0.94375094686856853</v>
      </c>
    </row>
    <row r="44" spans="1:31">
      <c r="A44">
        <f t="shared" si="15"/>
        <v>96</v>
      </c>
      <c r="B44" s="11">
        <f t="shared" si="16"/>
        <v>1.053784017728691</v>
      </c>
      <c r="C44">
        <f t="shared" si="13"/>
        <v>0.94896106144728198</v>
      </c>
      <c r="H44">
        <f t="shared" si="14"/>
        <v>0.95146297475657371</v>
      </c>
      <c r="I44">
        <f>+C43+(C45-C43)*(H44-H43)/(H45-H43)</f>
        <v>0.94963006957530116</v>
      </c>
      <c r="J44" s="11">
        <f>+B44</f>
        <v>1.053784017728691</v>
      </c>
      <c r="K44">
        <f t="shared" ref="K44" si="26">1/I44</f>
        <v>1.0530416338303457</v>
      </c>
      <c r="L44">
        <f>+SQRT(B43*B45)</f>
        <v>1.053945268638484</v>
      </c>
      <c r="M44">
        <f>0.5*(B43+B45)</f>
        <v>1.0539753414509359</v>
      </c>
      <c r="N44">
        <f>2/(C43+C45)</f>
        <v>1.0539151966840923</v>
      </c>
      <c r="O44">
        <f>1/SQRT(C43*C44)</f>
        <v>1.0578527511946851</v>
      </c>
      <c r="P44">
        <f>1/H44</f>
        <v>1.0510130467828707</v>
      </c>
      <c r="Q44">
        <f>+IF(H44&gt;C45,1,IF(H44&lt;C43,1,0))</f>
        <v>0</v>
      </c>
      <c r="R44" s="32">
        <f>+((K44-$B44)/$B44)^2</f>
        <v>4.9631096779822775E-7</v>
      </c>
      <c r="S44" s="32">
        <f t="shared" ref="S44:W44" si="27">+((L44-$B44)/$B44)^2</f>
        <v>2.3415375796133578E-8</v>
      </c>
      <c r="T44" s="32">
        <f t="shared" si="27"/>
        <v>3.2963584255603974E-8</v>
      </c>
      <c r="U44" s="32">
        <f t="shared" si="27"/>
        <v>1.5496196733539772E-8</v>
      </c>
      <c r="V44" s="32">
        <f t="shared" si="27"/>
        <v>1.4907858677174271E-5</v>
      </c>
      <c r="W44" s="32">
        <f t="shared" si="27"/>
        <v>6.9144991760873325E-6</v>
      </c>
      <c r="X44" s="32">
        <f>+((K44-$B44)/($B44-1))^2</f>
        <v>1.905244009961421E-4</v>
      </c>
      <c r="Y44" s="32">
        <f t="shared" ref="Y44:AC44" si="28">+((L44-$B44)/($B44-1))^2</f>
        <v>8.9887202522423194E-6</v>
      </c>
      <c r="Z44" s="32">
        <f t="shared" si="28"/>
        <v>1.2654097032846662E-5</v>
      </c>
      <c r="AA44" s="32">
        <f t="shared" si="28"/>
        <v>5.9486970708580461E-6</v>
      </c>
      <c r="AB44" s="32">
        <f t="shared" si="28"/>
        <v>5.7228452097364876E-3</v>
      </c>
      <c r="AC44" s="32">
        <f t="shared" si="28"/>
        <v>2.6543455599150299E-3</v>
      </c>
    </row>
    <row r="45" spans="1:31">
      <c r="A45">
        <f t="shared" si="15"/>
        <v>108</v>
      </c>
      <c r="B45" s="11">
        <f t="shared" si="16"/>
        <v>1.0460134885779799</v>
      </c>
      <c r="C45">
        <f t="shared" si="13"/>
        <v>0.9560106164208898</v>
      </c>
      <c r="D45">
        <f>1-C45</f>
        <v>4.3989383579110197E-2</v>
      </c>
      <c r="E45">
        <f>+LN(D45)</f>
        <v>-3.1238069564700814</v>
      </c>
      <c r="F45">
        <f>+LN(-E45)</f>
        <v>1.1390524363645709</v>
      </c>
      <c r="G45">
        <f>+LN(A45)</f>
        <v>4.6821312271242199</v>
      </c>
      <c r="H45">
        <f t="shared" si="14"/>
        <v>0.95764879862344288</v>
      </c>
      <c r="R45" s="32"/>
      <c r="S45" s="32"/>
      <c r="T45" s="32"/>
      <c r="U45" s="32"/>
      <c r="V45" s="32"/>
      <c r="W45" s="32"/>
      <c r="X45" s="32"/>
      <c r="Y45" s="32"/>
      <c r="Z45" s="32"/>
      <c r="AA45" s="32"/>
      <c r="AB45" s="32"/>
      <c r="AC45" s="32"/>
    </row>
    <row r="47" spans="1:31">
      <c r="E47" t="s">
        <v>37</v>
      </c>
    </row>
    <row r="48" spans="1:31">
      <c r="E48" s="90" t="s">
        <v>203</v>
      </c>
      <c r="G48">
        <f>+INTERCEPT(F37:F45,G37:G45)</f>
        <v>-0.60097505356111924</v>
      </c>
      <c r="R48" s="33"/>
      <c r="S48" s="33"/>
      <c r="T48" s="33"/>
      <c r="U48" s="33"/>
      <c r="V48" s="33"/>
      <c r="W48" s="33"/>
    </row>
    <row r="49" spans="1:7">
      <c r="E49" s="63" t="s">
        <v>38</v>
      </c>
      <c r="G49">
        <f>+EXP(G48)</f>
        <v>0.54827677615478909</v>
      </c>
    </row>
    <row r="50" spans="1:7">
      <c r="E50" s="19" t="s">
        <v>39</v>
      </c>
      <c r="G50">
        <f>+SLOPE(F37:F45,G37:G45)</f>
        <v>0.37421065871866965</v>
      </c>
    </row>
    <row r="52" spans="1:7">
      <c r="B52" s="51" t="s">
        <v>223</v>
      </c>
    </row>
    <row r="53" spans="1:7">
      <c r="A53" s="51" t="s">
        <v>221</v>
      </c>
      <c r="B53" s="51"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K25"/>
  <sheetViews>
    <sheetView workbookViewId="0">
      <selection activeCell="K14" sqref="K14"/>
    </sheetView>
  </sheetViews>
  <sheetFormatPr defaultRowHeight="12.75"/>
  <cols>
    <col min="2" max="2" width="10.5703125" customWidth="1"/>
    <col min="3" max="3" width="11.140625" customWidth="1"/>
    <col min="4" max="4" width="11.42578125" customWidth="1"/>
    <col min="5" max="5" width="11.5703125" customWidth="1"/>
    <col min="6" max="6" width="11" customWidth="1"/>
    <col min="7" max="8" width="11.28515625" customWidth="1"/>
    <col min="9" max="9" width="10.85546875" customWidth="1"/>
    <col min="10" max="10" width="10.7109375" customWidth="1"/>
    <col min="11" max="11" width="10.28515625" customWidth="1"/>
  </cols>
  <sheetData>
    <row r="1" spans="1:11">
      <c r="K1" s="2" t="str">
        <f>+Input!$B$1</f>
        <v>Development of NAIC Data</v>
      </c>
    </row>
    <row r="2" spans="1:11" ht="15.75">
      <c r="A2" s="3" t="str">
        <f>+'Paid Tria'!A2</f>
        <v>Selected Small Company Number 2 CMP</v>
      </c>
      <c r="B2" s="22"/>
      <c r="C2" s="3"/>
      <c r="D2" s="3"/>
      <c r="E2" s="3"/>
      <c r="F2" s="3"/>
      <c r="G2" s="3"/>
      <c r="H2" s="3"/>
      <c r="I2" s="22"/>
      <c r="J2" s="22"/>
      <c r="K2" s="22"/>
    </row>
    <row r="3" spans="1:11">
      <c r="A3" s="4"/>
      <c r="B3" s="5"/>
      <c r="C3" s="5"/>
      <c r="D3" s="5"/>
      <c r="E3" s="5"/>
      <c r="F3" s="5"/>
      <c r="G3" s="5"/>
      <c r="H3" s="5"/>
      <c r="K3" s="2" t="s">
        <v>46</v>
      </c>
    </row>
    <row r="4" spans="1:11">
      <c r="A4" s="4"/>
      <c r="B4" s="4"/>
      <c r="C4" s="4"/>
      <c r="D4" s="4"/>
      <c r="E4" s="4"/>
      <c r="F4" s="4"/>
      <c r="H4" s="4"/>
      <c r="K4" s="2"/>
    </row>
    <row r="5" spans="1:11">
      <c r="A5" s="4" t="s">
        <v>47</v>
      </c>
      <c r="B5" s="4"/>
      <c r="C5" s="4"/>
      <c r="D5" s="4"/>
      <c r="E5" s="4"/>
      <c r="F5" s="4"/>
      <c r="H5" s="4"/>
    </row>
    <row r="7" spans="1:11">
      <c r="B7" s="7"/>
      <c r="C7" s="7"/>
      <c r="D7" s="7"/>
      <c r="E7" s="7"/>
    </row>
    <row r="8" spans="1:11">
      <c r="B8" s="7" t="s">
        <v>3</v>
      </c>
      <c r="C8" s="7" t="s">
        <v>48</v>
      </c>
      <c r="D8" s="7"/>
      <c r="E8" s="7"/>
    </row>
    <row r="10" spans="1:11">
      <c r="C10" t="s">
        <v>9</v>
      </c>
    </row>
    <row r="11" spans="1:11">
      <c r="A11" t="s">
        <v>19</v>
      </c>
    </row>
    <row r="12" spans="1:11">
      <c r="A12" t="s">
        <v>21</v>
      </c>
      <c r="B12">
        <v>12</v>
      </c>
      <c r="C12">
        <f t="shared" ref="C12:K12" si="0">+B12+12</f>
        <v>24</v>
      </c>
      <c r="D12">
        <f t="shared" si="0"/>
        <v>36</v>
      </c>
      <c r="E12">
        <f t="shared" si="0"/>
        <v>48</v>
      </c>
      <c r="F12">
        <f t="shared" si="0"/>
        <v>60</v>
      </c>
      <c r="G12">
        <f t="shared" si="0"/>
        <v>72</v>
      </c>
      <c r="H12">
        <f t="shared" si="0"/>
        <v>84</v>
      </c>
      <c r="I12">
        <f t="shared" si="0"/>
        <v>96</v>
      </c>
      <c r="J12">
        <f t="shared" si="0"/>
        <v>108</v>
      </c>
      <c r="K12">
        <f t="shared" si="0"/>
        <v>120</v>
      </c>
    </row>
    <row r="14" spans="1:11">
      <c r="A14">
        <f>+'Paid Tria'!A14</f>
        <v>1994</v>
      </c>
      <c r="B14" s="9">
        <f>+'Inc Tria'!B14-'Paid Tria'!B14</f>
        <v>1894</v>
      </c>
      <c r="C14" s="9">
        <f>+'Inc Tria'!C14-'Paid Tria'!C14</f>
        <v>1547</v>
      </c>
      <c r="D14" s="9">
        <f>+'Inc Tria'!D14-'Paid Tria'!D14</f>
        <v>1304</v>
      </c>
      <c r="E14" s="9">
        <f>+'Inc Tria'!E14-'Paid Tria'!E14</f>
        <v>765</v>
      </c>
      <c r="F14" s="9">
        <f>+'Inc Tria'!F14-'Paid Tria'!F14</f>
        <v>356</v>
      </c>
      <c r="G14" s="9">
        <f>+'Inc Tria'!G14-'Paid Tria'!G14</f>
        <v>286</v>
      </c>
      <c r="H14" s="9">
        <f>+'Inc Tria'!H14-'Paid Tria'!H14</f>
        <v>160</v>
      </c>
      <c r="I14" s="9">
        <f>+'Inc Tria'!I14-'Paid Tria'!I14</f>
        <v>105</v>
      </c>
      <c r="J14" s="9">
        <f>+'Inc Tria'!J14-'Paid Tria'!J14</f>
        <v>113</v>
      </c>
      <c r="K14" s="9">
        <f>+'Inc Tria'!K14-'Paid Tria'!K14</f>
        <v>110</v>
      </c>
    </row>
    <row r="15" spans="1:11">
      <c r="A15">
        <f t="shared" ref="A15:A23" si="1">+A14+1</f>
        <v>1995</v>
      </c>
      <c r="B15" s="9">
        <f>+'Inc Tria'!B15-'Paid Tria'!B15</f>
        <v>2255</v>
      </c>
      <c r="C15" s="9">
        <f>+'Inc Tria'!C15-'Paid Tria'!C15</f>
        <v>1434</v>
      </c>
      <c r="D15" s="9">
        <f>+'Inc Tria'!D15-'Paid Tria'!D15</f>
        <v>1196</v>
      </c>
      <c r="E15" s="9">
        <f>+'Inc Tria'!E15-'Paid Tria'!E15</f>
        <v>881</v>
      </c>
      <c r="F15" s="9">
        <f>+'Inc Tria'!F15-'Paid Tria'!F15</f>
        <v>515</v>
      </c>
      <c r="G15" s="9">
        <f>+'Inc Tria'!G15-'Paid Tria'!G15</f>
        <v>217</v>
      </c>
      <c r="H15" s="9">
        <f>+'Inc Tria'!H15-'Paid Tria'!H15</f>
        <v>98</v>
      </c>
      <c r="I15" s="9">
        <f>+'Inc Tria'!I15-'Paid Tria'!I15</f>
        <v>69</v>
      </c>
      <c r="J15" s="9">
        <f>+'Inc Tria'!J15-'Paid Tria'!J15</f>
        <v>88</v>
      </c>
      <c r="K15" s="9"/>
    </row>
    <row r="16" spans="1:11">
      <c r="A16">
        <f t="shared" si="1"/>
        <v>1996</v>
      </c>
      <c r="B16" s="9">
        <f>+'Inc Tria'!B16-'Paid Tria'!B16</f>
        <v>1976</v>
      </c>
      <c r="C16" s="9">
        <f>+'Inc Tria'!C16-'Paid Tria'!C16</f>
        <v>1401</v>
      </c>
      <c r="D16" s="9">
        <f>+'Inc Tria'!D16-'Paid Tria'!D16</f>
        <v>1219</v>
      </c>
      <c r="E16" s="9">
        <f>+'Inc Tria'!E16-'Paid Tria'!E16</f>
        <v>880</v>
      </c>
      <c r="F16" s="9">
        <f>+'Inc Tria'!F16-'Paid Tria'!F16</f>
        <v>342</v>
      </c>
      <c r="G16" s="9">
        <f>+'Inc Tria'!G16-'Paid Tria'!G16</f>
        <v>186</v>
      </c>
      <c r="H16" s="9">
        <f>+'Inc Tria'!H16-'Paid Tria'!H16</f>
        <v>86</v>
      </c>
      <c r="I16" s="9">
        <f>+'Inc Tria'!I16-'Paid Tria'!I16</f>
        <v>62</v>
      </c>
      <c r="J16" s="9"/>
      <c r="K16" s="9"/>
    </row>
    <row r="17" spans="1:11">
      <c r="A17">
        <f t="shared" si="1"/>
        <v>1997</v>
      </c>
      <c r="B17" s="9">
        <f>+'Inc Tria'!B17-'Paid Tria'!B17</f>
        <v>2203</v>
      </c>
      <c r="C17" s="9">
        <f>+'Inc Tria'!C17-'Paid Tria'!C17</f>
        <v>1677</v>
      </c>
      <c r="D17" s="9">
        <f>+'Inc Tria'!D17-'Paid Tria'!D17</f>
        <v>1518</v>
      </c>
      <c r="E17" s="9">
        <f>+'Inc Tria'!E17-'Paid Tria'!E17</f>
        <v>865</v>
      </c>
      <c r="F17" s="9">
        <f>+'Inc Tria'!F17-'Paid Tria'!F17</f>
        <v>444</v>
      </c>
      <c r="G17" s="9">
        <f>+'Inc Tria'!G17-'Paid Tria'!G17</f>
        <v>235</v>
      </c>
      <c r="H17" s="9">
        <f>+'Inc Tria'!H17-'Paid Tria'!H17</f>
        <v>182</v>
      </c>
      <c r="I17" s="9"/>
      <c r="J17" s="9"/>
      <c r="K17" s="9"/>
    </row>
    <row r="18" spans="1:11">
      <c r="A18">
        <f t="shared" si="1"/>
        <v>1998</v>
      </c>
      <c r="B18" s="9">
        <f>+'Inc Tria'!B18-'Paid Tria'!B18</f>
        <v>2325</v>
      </c>
      <c r="C18" s="9">
        <f>+'Inc Tria'!C18-'Paid Tria'!C18</f>
        <v>1663</v>
      </c>
      <c r="D18" s="9">
        <f>+'Inc Tria'!D18-'Paid Tria'!D18</f>
        <v>1448</v>
      </c>
      <c r="E18" s="9">
        <f>+'Inc Tria'!E18-'Paid Tria'!E18</f>
        <v>856</v>
      </c>
      <c r="F18" s="9">
        <f>+'Inc Tria'!F18-'Paid Tria'!F18</f>
        <v>468</v>
      </c>
      <c r="G18" s="9">
        <f>+'Inc Tria'!G18-'Paid Tria'!G18</f>
        <v>411</v>
      </c>
      <c r="H18" s="9"/>
      <c r="I18" s="9"/>
      <c r="J18" s="9"/>
      <c r="K18" s="9"/>
    </row>
    <row r="19" spans="1:11">
      <c r="A19">
        <f t="shared" si="1"/>
        <v>1999</v>
      </c>
      <c r="B19" s="9">
        <f>+'Inc Tria'!B19-'Paid Tria'!B19</f>
        <v>2663</v>
      </c>
      <c r="C19" s="9">
        <f>+'Inc Tria'!C19-'Paid Tria'!C19</f>
        <v>1841</v>
      </c>
      <c r="D19" s="9">
        <f>+'Inc Tria'!D19-'Paid Tria'!D19</f>
        <v>1170</v>
      </c>
      <c r="E19" s="9">
        <f>+'Inc Tria'!E19-'Paid Tria'!E19</f>
        <v>740</v>
      </c>
      <c r="F19" s="9">
        <f>+'Inc Tria'!F19-'Paid Tria'!F19</f>
        <v>563</v>
      </c>
      <c r="G19" s="9"/>
      <c r="H19" s="9"/>
      <c r="I19" s="9"/>
      <c r="J19" s="9"/>
      <c r="K19" s="9"/>
    </row>
    <row r="20" spans="1:11">
      <c r="A20">
        <f t="shared" si="1"/>
        <v>2000</v>
      </c>
      <c r="B20" s="9">
        <f>+'Inc Tria'!B20-'Paid Tria'!B20</f>
        <v>2961</v>
      </c>
      <c r="C20" s="9">
        <f>+'Inc Tria'!C20-'Paid Tria'!C20</f>
        <v>1664</v>
      </c>
      <c r="D20" s="9">
        <f>+'Inc Tria'!D20-'Paid Tria'!D20</f>
        <v>1388</v>
      </c>
      <c r="E20" s="9">
        <f>+'Inc Tria'!E20-'Paid Tria'!E20</f>
        <v>1019</v>
      </c>
      <c r="F20" s="9"/>
      <c r="G20" s="9"/>
      <c r="H20" s="9"/>
      <c r="I20" s="9"/>
      <c r="J20" s="9"/>
      <c r="K20" s="9"/>
    </row>
    <row r="21" spans="1:11">
      <c r="A21">
        <f t="shared" si="1"/>
        <v>2001</v>
      </c>
      <c r="B21" s="9">
        <f>+'Inc Tria'!B21-'Paid Tria'!B21</f>
        <v>2535</v>
      </c>
      <c r="C21" s="9">
        <f>+'Inc Tria'!C21-'Paid Tria'!C21</f>
        <v>1671</v>
      </c>
      <c r="D21" s="9">
        <f>+'Inc Tria'!D21-'Paid Tria'!D21</f>
        <v>1250</v>
      </c>
      <c r="E21" s="9"/>
      <c r="F21" s="9"/>
      <c r="G21" s="9"/>
      <c r="H21" s="9"/>
      <c r="I21" s="9"/>
      <c r="J21" s="9"/>
      <c r="K21" s="9"/>
    </row>
    <row r="22" spans="1:11">
      <c r="A22">
        <f t="shared" si="1"/>
        <v>2002</v>
      </c>
      <c r="B22" s="9">
        <f>+'Inc Tria'!B22-'Paid Tria'!B22</f>
        <v>3267</v>
      </c>
      <c r="C22" s="9">
        <f>+'Inc Tria'!C22-'Paid Tria'!C22</f>
        <v>2158</v>
      </c>
      <c r="D22" s="9"/>
      <c r="E22" s="9"/>
      <c r="F22" s="9"/>
      <c r="G22" s="9"/>
      <c r="H22" s="9"/>
      <c r="I22" s="9"/>
      <c r="J22" s="9"/>
      <c r="K22" s="9"/>
    </row>
    <row r="23" spans="1:11">
      <c r="A23">
        <f t="shared" si="1"/>
        <v>2003</v>
      </c>
      <c r="B23" s="9">
        <f>+'Inc Tria'!B23-'Paid Tria'!B23</f>
        <v>3862</v>
      </c>
      <c r="C23" s="9"/>
      <c r="D23" s="9"/>
      <c r="E23" s="9"/>
      <c r="F23" s="9"/>
      <c r="G23" s="9"/>
      <c r="H23" s="9"/>
      <c r="I23" s="9"/>
      <c r="J23" s="9"/>
      <c r="K23" s="9"/>
    </row>
    <row r="25" spans="1:11">
      <c r="B25" t="s">
        <v>64</v>
      </c>
    </row>
  </sheetData>
  <phoneticPr fontId="0" type="noConversion"/>
  <pageMargins left="0.75" right="0.75" top="1" bottom="1"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46"/>
  <sheetViews>
    <sheetView topLeftCell="A10" workbookViewId="0">
      <selection activeCell="B45" sqref="B45"/>
    </sheetView>
  </sheetViews>
  <sheetFormatPr defaultRowHeight="12.75"/>
  <sheetData>
    <row r="1" spans="1:11">
      <c r="K1" s="2" t="str">
        <f>+Input!$B$1</f>
        <v>Development of NAIC Data</v>
      </c>
    </row>
    <row r="2" spans="1:11" ht="15.75">
      <c r="A2" s="3" t="str">
        <f>+'Paid Tria'!A2</f>
        <v>Selected Small Company Number 2 CMP</v>
      </c>
      <c r="B2" s="22"/>
      <c r="C2" s="3"/>
      <c r="D2" s="3"/>
      <c r="E2" s="3"/>
      <c r="F2" s="3"/>
      <c r="G2" s="3"/>
      <c r="H2" s="3"/>
      <c r="I2" s="22"/>
      <c r="J2" s="22"/>
      <c r="K2" s="22"/>
    </row>
    <row r="3" spans="1:11">
      <c r="A3" s="4"/>
      <c r="B3" s="5"/>
      <c r="C3" s="5"/>
      <c r="D3" s="5"/>
      <c r="E3" s="5"/>
      <c r="F3" s="5"/>
      <c r="G3" s="5"/>
      <c r="H3" s="5"/>
      <c r="K3" s="2" t="s">
        <v>56</v>
      </c>
    </row>
    <row r="4" spans="1:11">
      <c r="A4" s="4"/>
      <c r="B4" s="4"/>
      <c r="C4" s="4"/>
      <c r="D4" s="4"/>
      <c r="E4" s="4"/>
      <c r="F4" s="4"/>
      <c r="H4" s="4"/>
      <c r="K4" s="2"/>
    </row>
    <row r="5" spans="1:11">
      <c r="A5" s="4" t="s">
        <v>49</v>
      </c>
      <c r="B5" s="4"/>
      <c r="C5" s="4"/>
      <c r="D5" s="4"/>
      <c r="E5" s="4"/>
      <c r="F5" s="4"/>
      <c r="H5" s="4"/>
    </row>
    <row r="7" spans="1:11">
      <c r="B7" s="7"/>
      <c r="C7" s="7"/>
      <c r="D7" s="7"/>
      <c r="E7" s="7"/>
    </row>
    <row r="8" spans="1:11">
      <c r="B8" s="7" t="s">
        <v>3</v>
      </c>
      <c r="C8" s="7" t="s">
        <v>54</v>
      </c>
      <c r="D8" s="7"/>
      <c r="E8" s="7"/>
    </row>
    <row r="10" spans="1:11">
      <c r="C10" t="s">
        <v>55</v>
      </c>
    </row>
    <row r="11" spans="1:11">
      <c r="A11" t="s">
        <v>19</v>
      </c>
    </row>
    <row r="12" spans="1:11">
      <c r="A12" t="s">
        <v>21</v>
      </c>
      <c r="B12">
        <v>12</v>
      </c>
      <c r="C12">
        <f t="shared" ref="C12:K12" si="0">+B12+12</f>
        <v>24</v>
      </c>
      <c r="D12">
        <f t="shared" si="0"/>
        <v>36</v>
      </c>
      <c r="E12">
        <f t="shared" si="0"/>
        <v>48</v>
      </c>
      <c r="F12">
        <f t="shared" si="0"/>
        <v>60</v>
      </c>
      <c r="G12">
        <f t="shared" si="0"/>
        <v>72</v>
      </c>
      <c r="H12">
        <f t="shared" si="0"/>
        <v>84</v>
      </c>
      <c r="I12">
        <f t="shared" si="0"/>
        <v>96</v>
      </c>
      <c r="J12">
        <f t="shared" si="0"/>
        <v>108</v>
      </c>
      <c r="K12">
        <f t="shared" si="0"/>
        <v>120</v>
      </c>
    </row>
    <row r="14" spans="1:11">
      <c r="A14">
        <f>+Case!A14</f>
        <v>1994</v>
      </c>
      <c r="B14" s="10">
        <f>+Case!B14/'Paid Tria'!B14</f>
        <v>0.63599731363331091</v>
      </c>
      <c r="C14" s="10">
        <f>+Case!C14/'Paid Tria'!C14</f>
        <v>0.38377573803026543</v>
      </c>
      <c r="D14" s="10">
        <f>+Case!D14/'Paid Tria'!D14</f>
        <v>0.28206792126324898</v>
      </c>
      <c r="E14" s="10">
        <f>+Case!E14/'Paid Tria'!E14</f>
        <v>0.14251117734724292</v>
      </c>
      <c r="F14" s="10">
        <f>+Case!F14/'Paid Tria'!F14</f>
        <v>6.0938034919548099E-2</v>
      </c>
      <c r="G14" s="10">
        <f>+Case!G14/'Paid Tria'!G14</f>
        <v>4.7516198704103674E-2</v>
      </c>
      <c r="H14" s="10">
        <f>+Case!H14/'Paid Tria'!H14</f>
        <v>2.5843967048942013E-2</v>
      </c>
      <c r="I14" s="10">
        <f>+Case!I14/'Paid Tria'!I14</f>
        <v>1.6540642722117201E-2</v>
      </c>
      <c r="J14" s="10">
        <f>+Case!J14/'Paid Tria'!J14</f>
        <v>1.7686648927844734E-2</v>
      </c>
      <c r="K14" s="10">
        <f>+Case!K14/'Paid Tria'!K14</f>
        <v>1.7123287671232876E-2</v>
      </c>
    </row>
    <row r="15" spans="1:11">
      <c r="A15">
        <f t="shared" ref="A15:A23" si="1">+A14+1</f>
        <v>1995</v>
      </c>
      <c r="B15" s="10">
        <f>+Case!B15/'Paid Tria'!B15</f>
        <v>0.81231988472622474</v>
      </c>
      <c r="C15" s="10">
        <f>+Case!C15/'Paid Tria'!C15</f>
        <v>0.37314597970335678</v>
      </c>
      <c r="D15" s="10">
        <f>+Case!D15/'Paid Tria'!D15</f>
        <v>0.26507092198581561</v>
      </c>
      <c r="E15" s="10">
        <f>+Case!E15/'Paid Tria'!E15</f>
        <v>0.17400750543156232</v>
      </c>
      <c r="F15" s="10">
        <f>+Case!F15/'Paid Tria'!F15</f>
        <v>9.2826243691420326E-2</v>
      </c>
      <c r="G15" s="10">
        <f>+Case!G15/'Paid Tria'!G15</f>
        <v>3.7100359035732604E-2</v>
      </c>
      <c r="H15" s="10">
        <f>+Case!H15/'Paid Tria'!H15</f>
        <v>1.6462287922056108E-2</v>
      </c>
      <c r="I15" s="10">
        <f>+Case!I15/'Paid Tria'!I15</f>
        <v>1.150575287643822E-2</v>
      </c>
      <c r="J15" s="10">
        <f>+Case!J15/'Paid Tria'!J15</f>
        <v>1.4613085353703089E-2</v>
      </c>
      <c r="K15" s="10"/>
    </row>
    <row r="16" spans="1:11">
      <c r="A16">
        <f t="shared" si="1"/>
        <v>1996</v>
      </c>
      <c r="B16" s="10">
        <f>+Case!B16/'Paid Tria'!B16</f>
        <v>0.67578659370725036</v>
      </c>
      <c r="C16" s="10">
        <f>+Case!C16/'Paid Tria'!C16</f>
        <v>0.32483190354741481</v>
      </c>
      <c r="D16" s="10">
        <f>+Case!D16/'Paid Tria'!D16</f>
        <v>0.24646178730287099</v>
      </c>
      <c r="E16" s="10">
        <f>+Case!E16/'Paid Tria'!E16</f>
        <v>0.16248153618906944</v>
      </c>
      <c r="F16" s="10">
        <f>+Case!F16/'Paid Tria'!F16</f>
        <v>5.7702041504977222E-2</v>
      </c>
      <c r="G16" s="10">
        <f>+Case!G16/'Paid Tria'!G16</f>
        <v>3.0337628445604305E-2</v>
      </c>
      <c r="H16" s="10">
        <f>+Case!H16/'Paid Tria'!H16</f>
        <v>1.3753398368782983E-2</v>
      </c>
      <c r="I16" s="10">
        <f>+Case!I16/'Paid Tria'!I16</f>
        <v>9.8334655035685961E-3</v>
      </c>
      <c r="J16" s="10"/>
      <c r="K16" s="10"/>
    </row>
    <row r="17" spans="1:11">
      <c r="A17">
        <f t="shared" si="1"/>
        <v>1997</v>
      </c>
      <c r="B17" s="10">
        <f>+Case!B17/'Paid Tria'!B17</f>
        <v>0.95450606585788567</v>
      </c>
      <c r="C17" s="10">
        <f>+Case!C17/'Paid Tria'!C17</f>
        <v>0.48665118978525829</v>
      </c>
      <c r="D17" s="10">
        <f>+Case!D17/'Paid Tria'!D17</f>
        <v>0.36367992333493054</v>
      </c>
      <c r="E17" s="10">
        <f>+Case!E17/'Paid Tria'!E17</f>
        <v>0.17306922769107644</v>
      </c>
      <c r="F17" s="10">
        <f>+Case!F17/'Paid Tria'!F17</f>
        <v>8.1707765918292236E-2</v>
      </c>
      <c r="G17" s="10">
        <f>+Case!G17/'Paid Tria'!G17</f>
        <v>4.1300527240773287E-2</v>
      </c>
      <c r="H17" s="10">
        <f>+Case!H17/'Paid Tria'!H17</f>
        <v>3.1020964717913754E-2</v>
      </c>
      <c r="I17" s="10"/>
      <c r="J17" s="10"/>
      <c r="K17" s="10"/>
    </row>
    <row r="18" spans="1:11">
      <c r="A18">
        <f t="shared" si="1"/>
        <v>1998</v>
      </c>
      <c r="B18" s="10">
        <f>+Case!B18/'Paid Tria'!B18</f>
        <v>0.84147665580890341</v>
      </c>
      <c r="C18" s="10">
        <f>+Case!C18/'Paid Tria'!C18</f>
        <v>0.41061728395061731</v>
      </c>
      <c r="D18" s="10">
        <f>+Case!D18/'Paid Tria'!D18</f>
        <v>0.30684467048103414</v>
      </c>
      <c r="E18" s="10">
        <f>+Case!E18/'Paid Tria'!E18</f>
        <v>0.16138763197586728</v>
      </c>
      <c r="F18" s="10">
        <f>+Case!F18/'Paid Tria'!F18</f>
        <v>7.9849854973553999E-2</v>
      </c>
      <c r="G18" s="10">
        <f>+Case!G18/'Paid Tria'!G18</f>
        <v>6.7454455933037907E-2</v>
      </c>
      <c r="H18" s="10"/>
      <c r="I18" s="10"/>
      <c r="J18" s="10"/>
      <c r="K18" s="10"/>
    </row>
    <row r="19" spans="1:11">
      <c r="A19">
        <f t="shared" si="1"/>
        <v>1999</v>
      </c>
      <c r="B19" s="10">
        <f>+Case!B19/'Paid Tria'!B19</f>
        <v>0.77188405797101445</v>
      </c>
      <c r="C19" s="10">
        <f>+Case!C19/'Paid Tria'!C19</f>
        <v>0.38394160583941606</v>
      </c>
      <c r="D19" s="10">
        <f>+Case!D19/'Paid Tria'!D19</f>
        <v>0.20504731861198738</v>
      </c>
      <c r="E19" s="10">
        <f>+Case!E19/'Paid Tria'!E19</f>
        <v>0.11738578680203046</v>
      </c>
      <c r="F19" s="10">
        <f>+Case!F19/'Paid Tria'!F19</f>
        <v>8.2515022717279785E-2</v>
      </c>
      <c r="G19" s="10"/>
      <c r="H19" s="10"/>
      <c r="I19" s="10"/>
      <c r="J19" s="10"/>
      <c r="K19" s="10"/>
    </row>
    <row r="20" spans="1:11">
      <c r="A20">
        <f t="shared" si="1"/>
        <v>2000</v>
      </c>
      <c r="B20" s="10">
        <f>+Case!B20/'Paid Tria'!B20</f>
        <v>0.77452262620978285</v>
      </c>
      <c r="C20" s="10">
        <f>+Case!C20/'Paid Tria'!C20</f>
        <v>0.2966660723836691</v>
      </c>
      <c r="D20" s="10">
        <f>+Case!D20/'Paid Tria'!D20</f>
        <v>0.22108951895508125</v>
      </c>
      <c r="E20" s="10">
        <f>+Case!E20/'Paid Tria'!E20</f>
        <v>0.14787403860107387</v>
      </c>
      <c r="F20" s="10"/>
      <c r="G20" s="10"/>
      <c r="H20" s="10"/>
      <c r="I20" s="10"/>
      <c r="J20" s="10"/>
      <c r="K20" s="10"/>
    </row>
    <row r="21" spans="1:11">
      <c r="A21">
        <f t="shared" si="1"/>
        <v>2001</v>
      </c>
      <c r="B21" s="10">
        <f>+Case!B21/'Paid Tria'!B21</f>
        <v>0.66570378151260501</v>
      </c>
      <c r="C21" s="10">
        <f>+Case!C21/'Paid Tria'!C21</f>
        <v>0.31725840136700206</v>
      </c>
      <c r="D21" s="10">
        <f>+Case!D21/'Paid Tria'!D21</f>
        <v>0.20358306188925082</v>
      </c>
      <c r="E21" s="10"/>
      <c r="F21" s="10"/>
      <c r="G21" s="10"/>
      <c r="H21" s="10"/>
      <c r="I21" s="10"/>
      <c r="J21" s="10"/>
      <c r="K21" s="10"/>
    </row>
    <row r="22" spans="1:11">
      <c r="A22">
        <f t="shared" si="1"/>
        <v>2002</v>
      </c>
      <c r="B22" s="10">
        <f>+Case!B22/'Paid Tria'!B22</f>
        <v>0.75590004627487273</v>
      </c>
      <c r="C22" s="10">
        <f>+Case!C22/'Paid Tria'!C22</f>
        <v>0.33603238866396762</v>
      </c>
      <c r="D22" s="10"/>
      <c r="E22" s="10"/>
      <c r="F22" s="10"/>
      <c r="G22" s="10"/>
      <c r="H22" s="10"/>
      <c r="I22" s="10"/>
      <c r="J22" s="10"/>
      <c r="K22" s="10"/>
    </row>
    <row r="23" spans="1:11">
      <c r="A23">
        <f t="shared" si="1"/>
        <v>2003</v>
      </c>
      <c r="B23" s="10">
        <f>+Case!B23/'Paid Tria'!B23</f>
        <v>0.61185044359949303</v>
      </c>
      <c r="C23" s="10"/>
      <c r="D23" s="10"/>
      <c r="E23" s="10"/>
      <c r="F23" s="10"/>
      <c r="G23" s="10"/>
      <c r="H23" s="10"/>
      <c r="I23" s="10"/>
      <c r="J23" s="10"/>
      <c r="K23" s="10"/>
    </row>
    <row r="26" spans="1:11">
      <c r="C26" t="s">
        <v>50</v>
      </c>
    </row>
    <row r="29" spans="1:11">
      <c r="A29" t="s">
        <v>52</v>
      </c>
    </row>
    <row r="30" spans="1:11">
      <c r="A30" t="s">
        <v>51</v>
      </c>
      <c r="B30" s="9"/>
      <c r="C30" s="9"/>
      <c r="D30" s="9"/>
      <c r="E30" s="9"/>
      <c r="F30" s="9"/>
      <c r="G30" s="9"/>
      <c r="H30" s="9"/>
      <c r="I30" s="9"/>
      <c r="J30" s="9"/>
    </row>
    <row r="31" spans="1:11">
      <c r="A31">
        <f>+A15</f>
        <v>1995</v>
      </c>
      <c r="B31" s="10">
        <f t="shared" ref="B31:J31" si="2">+IF(ISERR(B14),"",IF(ISERR(B15),"",(B15-B14)/B14))</f>
        <v>0.27723791801198383</v>
      </c>
      <c r="C31" s="10">
        <f t="shared" si="2"/>
        <v>-2.7697838277807883E-2</v>
      </c>
      <c r="D31" s="10">
        <f t="shared" si="2"/>
        <v>-6.025853348126875E-2</v>
      </c>
      <c r="E31" s="10">
        <f t="shared" si="2"/>
        <v>0.22100952830931575</v>
      </c>
      <c r="F31" s="10">
        <f t="shared" si="2"/>
        <v>0.52328908889122905</v>
      </c>
      <c r="G31" s="10">
        <f t="shared" si="2"/>
        <v>-0.21920608029344568</v>
      </c>
      <c r="H31" s="10">
        <f t="shared" si="2"/>
        <v>-0.36301234671594146</v>
      </c>
      <c r="I31" s="10">
        <f t="shared" si="2"/>
        <v>-0.30439505467019212</v>
      </c>
      <c r="J31" s="10">
        <f t="shared" si="2"/>
        <v>-0.17377874048841566</v>
      </c>
    </row>
    <row r="32" spans="1:11">
      <c r="A32">
        <f t="shared" ref="A32:A39" si="3">+A31+1</f>
        <v>1996</v>
      </c>
      <c r="B32" s="10">
        <f t="shared" ref="B32:I32" si="4">+IF(ISERR(B15),"",IF(ISERR(B16),"",(B16-B15)/B15))</f>
        <v>-0.16807823320118531</v>
      </c>
      <c r="C32" s="10">
        <f t="shared" si="4"/>
        <v>-0.12947768107899926</v>
      </c>
      <c r="D32" s="10">
        <f t="shared" si="4"/>
        <v>-7.0204360944352937E-2</v>
      </c>
      <c r="E32" s="10">
        <f t="shared" si="4"/>
        <v>-6.6238345374280902E-2</v>
      </c>
      <c r="F32" s="10">
        <f t="shared" si="4"/>
        <v>-0.37838655093278906</v>
      </c>
      <c r="G32" s="10">
        <f t="shared" si="4"/>
        <v>-0.18228207936249041</v>
      </c>
      <c r="H32" s="10">
        <f t="shared" si="4"/>
        <v>-0.16455121949627458</v>
      </c>
      <c r="I32" s="10">
        <f t="shared" si="4"/>
        <v>-0.14534358514636425</v>
      </c>
      <c r="J32" s="10"/>
    </row>
    <row r="33" spans="1:10">
      <c r="A33">
        <f t="shared" si="3"/>
        <v>1997</v>
      </c>
      <c r="B33" s="10">
        <f t="shared" ref="B33:H33" si="5">+IF(ISERR(B16),"",IF(ISERR(B17),"",(B17-B16)/B16))</f>
        <v>0.41243711364800484</v>
      </c>
      <c r="C33" s="10">
        <f t="shared" si="5"/>
        <v>0.4981631559913054</v>
      </c>
      <c r="D33" s="10">
        <f t="shared" si="5"/>
        <v>0.47560369221867643</v>
      </c>
      <c r="E33" s="10">
        <f t="shared" si="5"/>
        <v>6.516242860780673E-2</v>
      </c>
      <c r="F33" s="10">
        <f t="shared" si="5"/>
        <v>0.41602903098747979</v>
      </c>
      <c r="G33" s="10">
        <f t="shared" si="5"/>
        <v>0.361363078027855</v>
      </c>
      <c r="H33" s="10">
        <f t="shared" si="5"/>
        <v>1.2555127021059851</v>
      </c>
      <c r="I33" s="10"/>
      <c r="J33" s="10"/>
    </row>
    <row r="34" spans="1:10">
      <c r="A34">
        <f t="shared" si="3"/>
        <v>1998</v>
      </c>
      <c r="B34" s="10">
        <f t="shared" ref="B34:G34" si="6">+IF(ISERR(B17),"",IF(ISERR(B18),"",(B18-B17)/B17))</f>
        <v>-0.11841664929325967</v>
      </c>
      <c r="C34" s="10">
        <f t="shared" si="6"/>
        <v>-0.15623902176873752</v>
      </c>
      <c r="D34" s="10">
        <f t="shared" si="6"/>
        <v>-0.15627822490919865</v>
      </c>
      <c r="E34" s="10">
        <f t="shared" si="6"/>
        <v>-6.7496665184526447E-2</v>
      </c>
      <c r="F34" s="10">
        <f t="shared" si="6"/>
        <v>-2.273848665249454E-2</v>
      </c>
      <c r="G34" s="10">
        <f t="shared" si="6"/>
        <v>0.63325895429355616</v>
      </c>
      <c r="H34" s="10"/>
      <c r="I34" s="10"/>
      <c r="J34" s="10"/>
    </row>
    <row r="35" spans="1:10">
      <c r="A35">
        <f t="shared" si="3"/>
        <v>1999</v>
      </c>
      <c r="B35" s="10">
        <f>+IF(ISERR(B18),"",IF(ISERR(B19),"",(B19-B18)/B18))</f>
        <v>-8.2702945301542874E-2</v>
      </c>
      <c r="C35" s="10">
        <f>+IF(ISERR(C18),"",IF(ISERR(C19),"",(C19-C18)/C18))</f>
        <v>-6.4964820415132324E-2</v>
      </c>
      <c r="D35" s="10">
        <f>+IF(ISERR(D18),"",IF(ISERR(D19),"",(D19-D18)/D18))</f>
        <v>-0.33175532007598868</v>
      </c>
      <c r="E35" s="10">
        <f>+IF(ISERR(E18),"",IF(ISERR(E19),"",(E19-E18)/E18))</f>
        <v>-0.27264694719863375</v>
      </c>
      <c r="F35" s="10">
        <f>+IF(ISERR(F18),"",IF(ISERR(F19),"",(F19-F18)/F18))</f>
        <v>3.3377239628155614E-2</v>
      </c>
      <c r="G35" s="10"/>
      <c r="H35" s="10"/>
      <c r="I35" s="10"/>
      <c r="J35" s="10"/>
    </row>
    <row r="36" spans="1:10">
      <c r="A36">
        <f t="shared" si="3"/>
        <v>2000</v>
      </c>
      <c r="B36" s="10">
        <f>+IF(ISERR(B19),"",IF(ISERR(B20),"",(B20-B19)/B19))</f>
        <v>3.4183478872515907E-3</v>
      </c>
      <c r="C36" s="10">
        <f>+IF(ISERR(C19),"",IF(ISERR(C20),"",(C20-C19)/C19))</f>
        <v>-0.22731460234671735</v>
      </c>
      <c r="D36" s="10">
        <f>+IF(ISERR(D19),"",IF(ISERR(D20),"",(D20-D19)/D19))</f>
        <v>7.8236577057857776E-2</v>
      </c>
      <c r="E36" s="10">
        <f>+IF(ISERR(E19),"",IF(ISERR(E20),"",(E20-E19)/E19))</f>
        <v>0.25972694505563465</v>
      </c>
      <c r="F36" s="10"/>
      <c r="G36" s="10"/>
      <c r="H36" s="10"/>
      <c r="I36" s="10"/>
      <c r="J36" s="10"/>
    </row>
    <row r="37" spans="1:10">
      <c r="A37">
        <f t="shared" si="3"/>
        <v>2001</v>
      </c>
      <c r="B37" s="10">
        <f>+IF(ISERR(B20),"",IF(ISERR(B21),"",(B21-B20)/B20))</f>
        <v>-0.14049795450094932</v>
      </c>
      <c r="C37" s="10">
        <f>+IF(ISERR(C20),"",IF(ISERR(C21),"",(C21-C20)/C20))</f>
        <v>6.9412483934804439E-2</v>
      </c>
      <c r="D37" s="10">
        <f>+IF(ISERR(D20),"",IF(ISERR(D21),"",(D21-D20)/D20))</f>
        <v>-7.9182663875564427E-2</v>
      </c>
      <c r="E37" s="10"/>
      <c r="F37" s="10"/>
      <c r="G37" s="10"/>
      <c r="H37" s="10"/>
      <c r="I37" s="10"/>
      <c r="J37" s="10"/>
    </row>
    <row r="38" spans="1:10">
      <c r="A38">
        <f t="shared" si="3"/>
        <v>2002</v>
      </c>
      <c r="B38" s="10">
        <f>+IF(ISERR(B21),"",IF(ISERR(B22),"",(B22-B21)/B21))</f>
        <v>0.13549008923657416</v>
      </c>
      <c r="C38" s="10">
        <f>+IF(ISERR(C21),"",IF(ISERR(C22),"",(C22-C21)/C21))</f>
        <v>5.9175697841482695E-2</v>
      </c>
      <c r="D38" s="10"/>
      <c r="E38" s="10"/>
      <c r="F38" s="10"/>
      <c r="G38" s="10"/>
      <c r="H38" s="10"/>
      <c r="I38" s="10"/>
      <c r="J38" s="10"/>
    </row>
    <row r="39" spans="1:10">
      <c r="A39">
        <f t="shared" si="3"/>
        <v>2003</v>
      </c>
      <c r="B39" s="10">
        <f>+IF(ISERR(B22),"",IF(ISERR(B23),"",(B23-B22)/B22))</f>
        <v>-0.19056699809090635</v>
      </c>
      <c r="C39" s="10"/>
      <c r="D39" s="10"/>
      <c r="E39" s="10"/>
      <c r="F39" s="10"/>
      <c r="G39" s="10"/>
      <c r="H39" s="10"/>
      <c r="I39" s="10"/>
      <c r="J39" s="10"/>
    </row>
    <row r="41" spans="1:10">
      <c r="A41" t="s">
        <v>53</v>
      </c>
      <c r="B41" s="10">
        <f t="shared" ref="B41:J41" si="7">+AVERAGE(B31:B39)</f>
        <v>1.425785426621899E-2</v>
      </c>
      <c r="C41" s="10">
        <f t="shared" si="7"/>
        <v>2.6321717350247754E-3</v>
      </c>
      <c r="D41" s="10">
        <f t="shared" si="7"/>
        <v>-2.0548404858548468E-2</v>
      </c>
      <c r="E41" s="10">
        <f t="shared" si="7"/>
        <v>2.3252824035886004E-2</v>
      </c>
      <c r="F41" s="10">
        <f t="shared" si="7"/>
        <v>0.11431406438431617</v>
      </c>
      <c r="G41" s="10">
        <f t="shared" si="7"/>
        <v>0.14828346816636878</v>
      </c>
      <c r="H41" s="10">
        <f t="shared" si="7"/>
        <v>0.2426497119645897</v>
      </c>
      <c r="I41" s="10">
        <f t="shared" si="7"/>
        <v>-0.22486931990827819</v>
      </c>
      <c r="J41" s="10">
        <f t="shared" si="7"/>
        <v>-0.17377874048841566</v>
      </c>
    </row>
    <row r="43" spans="1:10">
      <c r="B43" t="s">
        <v>64</v>
      </c>
    </row>
    <row r="45" spans="1:10" ht="13.5" thickBot="1">
      <c r="B45" t="s">
        <v>132</v>
      </c>
    </row>
    <row r="46" spans="1:10" ht="13.5" thickBot="1">
      <c r="C46" s="30">
        <f>0.33333333333*(K14+J14*I14/H14+J15*I15/H15)</f>
        <v>1.2885467928946582E-2</v>
      </c>
    </row>
  </sheetData>
  <phoneticPr fontId="0" type="noConversion"/>
  <pageMargins left="0.75" right="0.75" top="1" bottom="1" header="0.5" footer="0.5"/>
  <pageSetup scale="89"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K37"/>
  <sheetViews>
    <sheetView topLeftCell="A7" workbookViewId="0">
      <selection activeCell="A15" sqref="A15"/>
    </sheetView>
  </sheetViews>
  <sheetFormatPr defaultRowHeight="12.75"/>
  <sheetData>
    <row r="1" spans="1:11">
      <c r="K1" s="2" t="str">
        <f>+Input!$B$1</f>
        <v>Development of NAIC Data</v>
      </c>
    </row>
    <row r="2" spans="1:11" ht="15.75">
      <c r="A2" s="3" t="str">
        <f>+'Paid Tria'!A2</f>
        <v>Selected Small Company Number 2 CMP</v>
      </c>
      <c r="B2" s="22"/>
      <c r="C2" s="3"/>
      <c r="D2" s="3"/>
      <c r="E2" s="3"/>
      <c r="F2" s="3"/>
      <c r="G2" s="3"/>
      <c r="H2" s="3"/>
      <c r="I2" s="22"/>
      <c r="J2" s="22"/>
      <c r="K2" s="22"/>
    </row>
    <row r="3" spans="1:11">
      <c r="A3" s="4"/>
      <c r="B3" s="5"/>
      <c r="C3" s="5"/>
      <c r="D3" s="5"/>
      <c r="E3" s="5"/>
      <c r="F3" s="5"/>
      <c r="G3" s="5"/>
      <c r="H3" s="5"/>
      <c r="K3" s="2" t="s">
        <v>61</v>
      </c>
    </row>
    <row r="4" spans="1:11">
      <c r="A4" s="4"/>
      <c r="B4" s="4"/>
      <c r="C4" s="4"/>
      <c r="D4" s="4"/>
      <c r="E4" s="4"/>
      <c r="F4" s="4"/>
      <c r="H4" s="4"/>
      <c r="K4" s="2"/>
    </row>
    <row r="5" spans="1:11">
      <c r="A5" s="4" t="s">
        <v>49</v>
      </c>
      <c r="B5" s="4"/>
      <c r="C5" s="4"/>
      <c r="D5" s="4"/>
      <c r="E5" s="4"/>
      <c r="F5" s="4"/>
      <c r="H5" s="4"/>
    </row>
    <row r="7" spans="1:11">
      <c r="B7" s="7"/>
      <c r="C7" s="7"/>
      <c r="D7" s="7"/>
      <c r="E7" s="7"/>
    </row>
    <row r="8" spans="1:11">
      <c r="B8" s="7" t="s">
        <v>3</v>
      </c>
      <c r="C8" s="7" t="s">
        <v>63</v>
      </c>
      <c r="D8" s="7"/>
      <c r="E8" s="7"/>
    </row>
    <row r="10" spans="1:11">
      <c r="C10" t="s">
        <v>62</v>
      </c>
    </row>
    <row r="11" spans="1:11">
      <c r="A11" t="s">
        <v>19</v>
      </c>
    </row>
    <row r="12" spans="1:11">
      <c r="A12" t="s">
        <v>21</v>
      </c>
      <c r="B12">
        <v>12</v>
      </c>
      <c r="C12">
        <f t="shared" ref="C12:K12" si="0">+B12+12</f>
        <v>24</v>
      </c>
      <c r="D12">
        <f t="shared" si="0"/>
        <v>36</v>
      </c>
      <c r="E12">
        <f t="shared" si="0"/>
        <v>48</v>
      </c>
      <c r="F12">
        <f t="shared" si="0"/>
        <v>60</v>
      </c>
      <c r="G12">
        <f t="shared" si="0"/>
        <v>72</v>
      </c>
      <c r="H12">
        <f t="shared" si="0"/>
        <v>84</v>
      </c>
      <c r="I12">
        <f t="shared" si="0"/>
        <v>96</v>
      </c>
      <c r="J12">
        <f t="shared" si="0"/>
        <v>108</v>
      </c>
      <c r="K12">
        <f t="shared" si="0"/>
        <v>120</v>
      </c>
    </row>
    <row r="14" spans="1:11">
      <c r="A14">
        <f>+'Paid Tria'!A14</f>
        <v>1994</v>
      </c>
      <c r="B14" s="10"/>
      <c r="C14" s="10">
        <f>+IF((Case!B14-Case!C14=0),"",IF(ISERR(Case!B14-Case!C14),"",(('Paid Tria'!C14-'Paid Tria'!B14)/(Case!B14-Case!C14))))</f>
        <v>3.0345821325648417</v>
      </c>
      <c r="D14" s="10">
        <f>+IF((Case!C14-Case!D14=0),"",IF(ISERR(Case!C14-Case!D14),"",(('Paid Tria'!D14-'Paid Tria'!C14)/(Case!C14-Case!D14))))</f>
        <v>2.4362139917695473</v>
      </c>
      <c r="E14" s="10">
        <f>+IF((Case!D14-Case!E14=0),"",IF(ISERR(Case!D14-Case!E14),"",(('Paid Tria'!E14-'Paid Tria'!D14)/(Case!D14-Case!E14))))</f>
        <v>1.3821892393320965</v>
      </c>
      <c r="F14" s="10">
        <f>+IF((Case!E14-Case!F14=0),"",IF(ISERR(Case!E14-Case!F14),"",(('Paid Tria'!F14-'Paid Tria'!E14)/(Case!E14-Case!F14))))</f>
        <v>1.158924205378973</v>
      </c>
      <c r="G14" s="10">
        <f>+IF((Case!F14-Case!G14=0),"",IF(ISERR(Case!F14-Case!G14),"",(('Paid Tria'!G14-'Paid Tria'!F14)/(Case!F14-Case!G14))))</f>
        <v>2.5285714285714285</v>
      </c>
      <c r="H14" s="10">
        <f>+IF((Case!G14-Case!H14=0),"",IF(ISERR(Case!G14-Case!H14),"",(('Paid Tria'!H14-'Paid Tria'!G14)/(Case!G14-Case!H14))))</f>
        <v>1.3650793650793651</v>
      </c>
      <c r="I14" s="10">
        <f>+IF((Case!H14-Case!I14=0),"",IF(ISERR(Case!H14-Case!I14),"",(('Paid Tria'!I14-'Paid Tria'!H14)/(Case!H14-Case!I14))))</f>
        <v>2.8545454545454545</v>
      </c>
      <c r="J14" s="10">
        <f>+IF((Case!I14-Case!J14=0),"",IF(ISERR(Case!I14-Case!J14),"",(('Paid Tria'!J14-'Paid Tria'!I14)/(Case!I14-Case!J14))))</f>
        <v>-5.125</v>
      </c>
      <c r="K14" s="10">
        <f>+IF((Case!J14-Case!K14=0),"",IF(ISERR(Case!J14-Case!K14),"",(('Paid Tria'!K14-'Paid Tria'!J14)/(Case!J14-Case!K14))))</f>
        <v>11.666666666666666</v>
      </c>
    </row>
    <row r="15" spans="1:11">
      <c r="A15">
        <f t="shared" ref="A15:A23" si="1">+A14+1</f>
        <v>1995</v>
      </c>
      <c r="B15" s="10"/>
      <c r="C15" s="10">
        <f>+IF((Case!B15-Case!C15=0),"",IF(ISERR(Case!B15-Case!C15),"",(('Paid Tria'!C15-'Paid Tria'!B15)/(Case!B15-Case!C15))))</f>
        <v>1.299634591961023</v>
      </c>
      <c r="D15" s="10">
        <f>+IF((Case!C15-Case!D15=0),"",IF(ISERR(Case!C15-Case!D15),"",(('Paid Tria'!D15-'Paid Tria'!C15)/(Case!C15-Case!D15))))</f>
        <v>2.8109243697478989</v>
      </c>
      <c r="E15" s="10">
        <f>+IF((Case!D15-Case!E15=0),"",IF(ISERR(Case!D15-Case!E15),"",(('Paid Tria'!E15-'Paid Tria'!D15)/(Case!D15-Case!E15))))</f>
        <v>1.7492063492063492</v>
      </c>
      <c r="F15" s="10">
        <f>+IF((Case!E15-Case!F15=0),"",IF(ISERR(Case!E15-Case!F15),"",(('Paid Tria'!F15-'Paid Tria'!E15)/(Case!E15-Case!F15))))</f>
        <v>1.325136612021858</v>
      </c>
      <c r="G15" s="10">
        <f>+IF((Case!F15-Case!G15=0),"",IF(ISERR(Case!F15-Case!G15),"",(('Paid Tria'!G15-'Paid Tria'!F15)/(Case!F15-Case!G15))))</f>
        <v>1.0100671140939597</v>
      </c>
      <c r="H15" s="10">
        <f>+IF((Case!G15-Case!H15=0),"",IF(ISERR(Case!G15-Case!H15),"",(('Paid Tria'!H15-'Paid Tria'!G15)/(Case!G15-Case!H15))))</f>
        <v>0.87394957983193278</v>
      </c>
      <c r="I15" s="10">
        <f>+IF((Case!H15-Case!I15=0),"",IF(ISERR(Case!H15-Case!I15),"",(('Paid Tria'!I15-'Paid Tria'!H15)/(Case!H15-Case!I15))))</f>
        <v>1.5172413793103448</v>
      </c>
      <c r="J15" s="10">
        <f>+IF((Case!I15-Case!J15=0),"",IF(ISERR(Case!I15-Case!J15),"",(('Paid Tria'!J15-'Paid Tria'!I15)/(Case!I15-Case!J15))))</f>
        <v>-1.3157894736842106</v>
      </c>
      <c r="K15" s="10"/>
    </row>
    <row r="16" spans="1:11">
      <c r="A16">
        <f t="shared" si="1"/>
        <v>1996</v>
      </c>
      <c r="B16" s="10"/>
      <c r="C16" s="10">
        <f>+IF((Case!B16-Case!C16=0),"",IF(ISERR(Case!B16-Case!C16),"",(('Paid Tria'!C16-'Paid Tria'!B16)/(Case!B16-Case!C16))))</f>
        <v>2.4156521739130437</v>
      </c>
      <c r="D16" s="10">
        <f>+IF((Case!C16-Case!D16=0),"",IF(ISERR(Case!C16-Case!D16),"",(('Paid Tria'!D16-'Paid Tria'!C16)/(Case!C16-Case!D16))))</f>
        <v>3.4780219780219781</v>
      </c>
      <c r="E16" s="10">
        <f>+IF((Case!D16-Case!E16=0),"",IF(ISERR(Case!D16-Case!E16),"",(('Paid Tria'!E16-'Paid Tria'!D16)/(Case!D16-Case!E16))))</f>
        <v>1.3864306784660767</v>
      </c>
      <c r="F16" s="10">
        <f>+IF((Case!E16-Case!F16=0),"",IF(ISERR(Case!E16-Case!F16),"",(('Paid Tria'!F16-'Paid Tria'!E16)/(Case!E16-Case!F16))))</f>
        <v>0.94981412639405205</v>
      </c>
      <c r="G16" s="10">
        <f>+IF((Case!F16-Case!G16=0),"",IF(ISERR(Case!F16-Case!G16),"",(('Paid Tria'!G16-'Paid Tria'!F16)/(Case!F16-Case!G16))))</f>
        <v>1.3076923076923077</v>
      </c>
      <c r="H16" s="10">
        <f>+IF((Case!G16-Case!H16=0),"",IF(ISERR(Case!G16-Case!H16),"",(('Paid Tria'!H16-'Paid Tria'!G16)/(Case!G16-Case!H16))))</f>
        <v>1.22</v>
      </c>
      <c r="I16" s="10">
        <f>+IF((Case!H16-Case!I16=0),"",IF(ISERR(Case!H16-Case!I16),"",(('Paid Tria'!I16-'Paid Tria'!H16)/(Case!H16-Case!I16))))</f>
        <v>2.1666666666666665</v>
      </c>
      <c r="J16" s="10"/>
      <c r="K16" s="10"/>
    </row>
    <row r="17" spans="1:11">
      <c r="A17">
        <f t="shared" si="1"/>
        <v>1997</v>
      </c>
      <c r="B17" s="10"/>
      <c r="C17" s="10">
        <f>+IF((Case!B17-Case!C17=0),"",IF(ISERR(Case!B17-Case!C17),"",(('Paid Tria'!C17-'Paid Tria'!B17)/(Case!B17-Case!C17))))</f>
        <v>2.1634980988593155</v>
      </c>
      <c r="D17" s="10">
        <f>+IF((Case!C17-Case!D17=0),"",IF(ISERR(Case!C17-Case!D17),"",(('Paid Tria'!D17-'Paid Tria'!C17)/(Case!C17-Case!D17))))</f>
        <v>4.5786163522012577</v>
      </c>
      <c r="E17" s="10">
        <f>+IF((Case!D17-Case!E17=0),"",IF(ISERR(Case!D17-Case!E17),"",(('Paid Tria'!E17-'Paid Tria'!D17)/(Case!D17-Case!E17))))</f>
        <v>1.2618683001531394</v>
      </c>
      <c r="F17" s="10">
        <f>+IF((Case!E17-Case!F17=0),"",IF(ISERR(Case!E17-Case!F17),"",(('Paid Tria'!F17-'Paid Tria'!E17)/(Case!E17-Case!F17))))</f>
        <v>1.0356294536817101</v>
      </c>
      <c r="G17" s="10">
        <f>+IF((Case!F17-Case!G17=0),"",IF(ISERR(Case!F17-Case!G17),"",(('Paid Tria'!G17-'Paid Tria'!F17)/(Case!F17-Case!G17))))</f>
        <v>1.2248803827751196</v>
      </c>
      <c r="H17" s="10">
        <f>+IF((Case!G17-Case!H17=0),"",IF(ISERR(Case!G17-Case!H17),"",(('Paid Tria'!H17-'Paid Tria'!G17)/(Case!G17-Case!H17))))</f>
        <v>3.3396226415094339</v>
      </c>
      <c r="I17" s="10"/>
      <c r="J17" s="10"/>
      <c r="K17" s="10"/>
    </row>
    <row r="18" spans="1:11">
      <c r="A18">
        <f t="shared" si="1"/>
        <v>1998</v>
      </c>
      <c r="B18" s="10"/>
      <c r="C18" s="10">
        <f>+IF((Case!B18-Case!C18=0),"",IF(ISERR(Case!B18-Case!C18),"",(('Paid Tria'!C18-'Paid Tria'!B18)/(Case!B18-Case!C18))))</f>
        <v>1.9441087613293051</v>
      </c>
      <c r="D18" s="10">
        <f>+IF((Case!C18-Case!D18=0),"",IF(ISERR(Case!C18-Case!D18),"",(('Paid Tria'!D18-'Paid Tria'!C18)/(Case!C18-Case!D18))))</f>
        <v>3.1116279069767443</v>
      </c>
      <c r="E18" s="10">
        <f>+IF((Case!D18-Case!E18=0),"",IF(ISERR(Case!D18-Case!E18),"",(('Paid Tria'!E18-'Paid Tria'!D18)/(Case!D18-Case!E18))))</f>
        <v>0.98817567567567566</v>
      </c>
      <c r="F18" s="10">
        <f>+IF((Case!E18-Case!F18=0),"",IF(ISERR(Case!E18-Case!F18),"",(('Paid Tria'!F18-'Paid Tria'!E18)/(Case!E18-Case!F18))))</f>
        <v>1.4355670103092784</v>
      </c>
      <c r="G18" s="10">
        <f>+IF((Case!F18-Case!G18=0),"",IF(ISERR(Case!F18-Case!G18),"",(('Paid Tria'!G18-'Paid Tria'!F18)/(Case!F18-Case!G18))))</f>
        <v>4.0701754385964914</v>
      </c>
      <c r="H18" s="10"/>
      <c r="I18" s="10"/>
      <c r="J18" s="10"/>
      <c r="K18" s="10"/>
    </row>
    <row r="19" spans="1:11">
      <c r="A19">
        <f t="shared" si="1"/>
        <v>1999</v>
      </c>
      <c r="B19" s="10"/>
      <c r="C19" s="10">
        <f>+IF((Case!B19-Case!C19=0),"",IF(ISERR(Case!B19-Case!C19),"",(('Paid Tria'!C19-'Paid Tria'!B19)/(Case!B19-Case!C19))))</f>
        <v>1.6362530413625305</v>
      </c>
      <c r="D19" s="10">
        <f>+IF((Case!C19-Case!D19=0),"",IF(ISERR(Case!C19-Case!D19),"",(('Paid Tria'!D19-'Paid Tria'!C19)/(Case!C19-Case!D19))))</f>
        <v>1.3576751117734724</v>
      </c>
      <c r="E19" s="10">
        <f>+IF((Case!D19-Case!E19=0),"",IF(ISERR(Case!D19-Case!E19),"",(('Paid Tria'!E19-'Paid Tria'!D19)/(Case!D19-Case!E19))))</f>
        <v>1.3906976744186046</v>
      </c>
      <c r="F19" s="10">
        <f>+IF((Case!E19-Case!F19=0),"",IF(ISERR(Case!E19-Case!F19),"",(('Paid Tria'!F19-'Paid Tria'!E19)/(Case!E19-Case!F19))))</f>
        <v>2.9322033898305087</v>
      </c>
      <c r="G19" s="10"/>
      <c r="H19" s="10"/>
      <c r="I19" s="10"/>
      <c r="J19" s="10"/>
      <c r="K19" s="10"/>
    </row>
    <row r="20" spans="1:11">
      <c r="A20">
        <f t="shared" si="1"/>
        <v>2000</v>
      </c>
      <c r="B20" s="10"/>
      <c r="C20" s="10">
        <f>+IF((Case!B20-Case!C20=0),"",IF(ISERR(Case!B20-Case!C20),"",(('Paid Tria'!C20-'Paid Tria'!B20)/(Case!B20-Case!C20))))</f>
        <v>1.3770239013107171</v>
      </c>
      <c r="D20" s="10">
        <f>+IF((Case!C20-Case!D20=0),"",IF(ISERR(Case!C20-Case!D20),"",(('Paid Tria'!D20-'Paid Tria'!C20)/(Case!C20-Case!D20))))</f>
        <v>2.4239130434782608</v>
      </c>
      <c r="E20" s="10">
        <f>+IF((Case!D20-Case!E20=0),"",IF(ISERR(Case!D20-Case!E20),"",(('Paid Tria'!E20-'Paid Tria'!D20)/(Case!D20-Case!E20))))</f>
        <v>1.6612466124661247</v>
      </c>
      <c r="F20" s="10"/>
      <c r="G20" s="10"/>
      <c r="H20" s="10"/>
      <c r="I20" s="10"/>
      <c r="J20" s="10"/>
      <c r="K20" s="10"/>
    </row>
    <row r="21" spans="1:11">
      <c r="A21">
        <f t="shared" si="1"/>
        <v>2001</v>
      </c>
      <c r="B21" s="10"/>
      <c r="C21" s="10">
        <f>+IF((Case!B21-Case!C21=0),"",IF(ISERR(Case!B21-Case!C21),"",(('Paid Tria'!C21-'Paid Tria'!B21)/(Case!B21-Case!C21))))</f>
        <v>1.6886574074074074</v>
      </c>
      <c r="D21" s="10">
        <f>+IF((Case!C21-Case!D21=0),"",IF(ISERR(Case!C21-Case!D21),"",(('Paid Tria'!D21-'Paid Tria'!C21)/(Case!C21-Case!D21))))</f>
        <v>2.0736342042755345</v>
      </c>
      <c r="E21" s="10"/>
      <c r="F21" s="10"/>
      <c r="G21" s="10"/>
      <c r="H21" s="10"/>
      <c r="I21" s="10"/>
      <c r="J21" s="10"/>
      <c r="K21" s="10"/>
    </row>
    <row r="22" spans="1:11">
      <c r="A22">
        <f t="shared" si="1"/>
        <v>2002</v>
      </c>
      <c r="B22" s="10"/>
      <c r="C22" s="10">
        <f>+IF((Case!B22-Case!C22=0),"",IF(ISERR(Case!B22-Case!C22),"",(('Paid Tria'!C22-'Paid Tria'!B22)/(Case!B22-Case!C22))))</f>
        <v>1.8935978358881875</v>
      </c>
      <c r="D22" s="10"/>
      <c r="E22" s="10"/>
      <c r="F22" s="10"/>
      <c r="G22" s="10"/>
      <c r="H22" s="10"/>
      <c r="I22" s="10"/>
      <c r="J22" s="10"/>
      <c r="K22" s="10"/>
    </row>
    <row r="23" spans="1:11">
      <c r="A23">
        <f t="shared" si="1"/>
        <v>2003</v>
      </c>
      <c r="B23" s="10"/>
      <c r="C23" s="10"/>
      <c r="D23" s="10"/>
      <c r="E23" s="10"/>
      <c r="F23" s="10"/>
      <c r="G23" s="10"/>
      <c r="H23" s="10"/>
      <c r="I23" s="10"/>
      <c r="J23" s="10"/>
      <c r="K23" s="10"/>
    </row>
    <row r="27" spans="1:11">
      <c r="A27" t="s">
        <v>53</v>
      </c>
      <c r="B27" s="10"/>
      <c r="C27" s="10">
        <f>+AVERAGE(C14:C22)</f>
        <v>1.9392231049551525</v>
      </c>
      <c r="D27" s="10">
        <f t="shared" ref="D27:K27" si="2">+AVERAGE(D14:D22)</f>
        <v>2.7838283697805868</v>
      </c>
      <c r="E27" s="10">
        <f t="shared" si="2"/>
        <v>1.4028306471025809</v>
      </c>
      <c r="F27" s="10">
        <f t="shared" si="2"/>
        <v>1.4728791329360635</v>
      </c>
      <c r="G27" s="10">
        <f t="shared" si="2"/>
        <v>2.0282773343458613</v>
      </c>
      <c r="H27" s="10">
        <f t="shared" si="2"/>
        <v>1.699662896605183</v>
      </c>
      <c r="I27" s="10">
        <f t="shared" si="2"/>
        <v>2.179484500174155</v>
      </c>
      <c r="J27" s="10">
        <f t="shared" si="2"/>
        <v>-3.2203947368421053</v>
      </c>
      <c r="K27" s="10">
        <f t="shared" si="2"/>
        <v>11.666666666666666</v>
      </c>
    </row>
    <row r="29" spans="1:11">
      <c r="C29" t="s">
        <v>64</v>
      </c>
    </row>
    <row r="31" spans="1:11">
      <c r="B31" t="s">
        <v>65</v>
      </c>
    </row>
    <row r="32" spans="1:11">
      <c r="C32" t="s">
        <v>66</v>
      </c>
    </row>
    <row r="33" spans="2:4">
      <c r="B33" t="s">
        <v>67</v>
      </c>
    </row>
    <row r="34" spans="2:4">
      <c r="C34" t="s">
        <v>68</v>
      </c>
    </row>
    <row r="36" spans="2:4" ht="13.5" thickBot="1">
      <c r="C36" t="s">
        <v>131</v>
      </c>
    </row>
    <row r="37" spans="2:4" ht="13.5" thickBot="1">
      <c r="D37" s="30">
        <f>+('Paid Tria'!K14+'Paid Tria'!J15+'Paid Tria'!I16-SUM('Paid Tria'!H14:H16))/(SUM(Case!H14:H16)-Case!I16-Case!J15-Case!K14)</f>
        <v>4.2142857142857144</v>
      </c>
    </row>
  </sheetData>
  <phoneticPr fontId="0" type="noConversion"/>
  <pageMargins left="0.75" right="0.75" top="1" bottom="1" header="0.5" footer="0.5"/>
  <pageSetup scale="8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Notes</vt:lpstr>
      <vt:lpstr>Input</vt:lpstr>
      <vt:lpstr>Paid Tria</vt:lpstr>
      <vt:lpstr>Paid Interp Using Methods</vt:lpstr>
      <vt:lpstr>Inc Tria</vt:lpstr>
      <vt:lpstr>Incrd Interp Using Methods</vt:lpstr>
      <vt:lpstr>Case</vt:lpstr>
      <vt:lpstr>Case Over Paid</vt:lpstr>
      <vt:lpstr>Paid over Disposed</vt:lpstr>
      <vt:lpstr>Case!Print_Area</vt:lpstr>
      <vt:lpstr>'Case Over Paid'!Print_Area</vt:lpstr>
      <vt:lpstr>'Inc Tria'!Print_Area</vt:lpstr>
      <vt:lpstr>Input!Print_Area</vt:lpstr>
      <vt:lpstr>'Paid over Disposed'!Print_Area</vt:lpstr>
      <vt:lpstr>'Paid Tria'!Print_Area</vt:lpstr>
    </vt:vector>
  </TitlesOfParts>
  <Company>Actuarial Group,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Boor</dc:creator>
  <cp:lastModifiedBy>boorj</cp:lastModifiedBy>
  <cp:lastPrinted>2004-08-19T18:02:14Z</cp:lastPrinted>
  <dcterms:created xsi:type="dcterms:W3CDTF">2002-11-29T15:25:08Z</dcterms:created>
  <dcterms:modified xsi:type="dcterms:W3CDTF">2015-04-03T20:35:03Z</dcterms:modified>
</cp:coreProperties>
</file>

<file path=docProps/custom.xml><?xml version="1.0" encoding="utf-8"?>
<Properties xmlns="http://schemas.openxmlformats.org/officeDocument/2006/custom-properties" xmlns:vt="http://schemas.openxmlformats.org/officeDocument/2006/docPropsVTypes"/>
</file>