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9105" activeTab="0"/>
  </bookViews>
  <sheets>
    <sheet name="input" sheetId="1" r:id="rId1"/>
    <sheet name="Base Case" sheetId="2" r:id="rId2"/>
    <sheet name="Case Study II" sheetId="3" r:id="rId3"/>
    <sheet name="Case Study III" sheetId="4" r:id="rId4"/>
    <sheet name="Appendix" sheetId="5" r:id="rId5"/>
    <sheet name="Answer Key" sheetId="6" r:id="rId6"/>
  </sheets>
  <definedNames>
    <definedName name="curreval">'input'!$C$7</definedName>
    <definedName name="curryr">'input'!$C$6</definedName>
    <definedName name="line">'input'!$C$9</definedName>
    <definedName name="_xlnm.Print_Area" localSheetId="4">'Appendix'!#REF!</definedName>
    <definedName name="_xlnm.Print_Area" localSheetId="1">'Base Case'!$M$4:$T$31</definedName>
    <definedName name="_xlnm.Print_Area" localSheetId="2">'Case Study II'!$M$4:$T$31</definedName>
    <definedName name="_xlnm.Print_Area" localSheetId="3">'Case Study III'!#REF!</definedName>
    <definedName name="title1">'input'!$C$8</definedName>
    <definedName name="trend">'input'!$C$10</definedName>
  </definedNames>
  <calcPr fullCalcOnLoad="1"/>
</workbook>
</file>

<file path=xl/sharedStrings.xml><?xml version="1.0" encoding="utf-8"?>
<sst xmlns="http://schemas.openxmlformats.org/spreadsheetml/2006/main" count="461" uniqueCount="169">
  <si>
    <t>Accident</t>
  </si>
  <si>
    <t>Year</t>
  </si>
  <si>
    <t>Range Name</t>
  </si>
  <si>
    <t>Value</t>
  </si>
  <si>
    <t>Description</t>
  </si>
  <si>
    <t>Latest year to be shown in Triangles, etc.</t>
  </si>
  <si>
    <t>curryr</t>
  </si>
  <si>
    <t>title1</t>
  </si>
  <si>
    <t>Monstertruck Mutual</t>
  </si>
  <si>
    <t>Company Name</t>
  </si>
  <si>
    <t>line</t>
  </si>
  <si>
    <t>Commercial Automobile Liability</t>
  </si>
  <si>
    <t>Line of Business</t>
  </si>
  <si>
    <t>Incurred Losses ($000) at Accident Period Maturity in Months</t>
  </si>
  <si>
    <t>Incurred Loss Development Factors (LDF's)</t>
  </si>
  <si>
    <t>All Yr. Avg</t>
  </si>
  <si>
    <t>Latest 3 Yr Avg</t>
  </si>
  <si>
    <t>X High/Low</t>
  </si>
  <si>
    <t>Industry</t>
  </si>
  <si>
    <t>Selected</t>
  </si>
  <si>
    <t>Age to Ult.</t>
  </si>
  <si>
    <t>Incurred LDF Method</t>
  </si>
  <si>
    <t>curreval</t>
  </si>
  <si>
    <t>Evaluation Date</t>
  </si>
  <si>
    <t>Incurred</t>
  </si>
  <si>
    <t>Loss (000)</t>
  </si>
  <si>
    <t>Age to Ult</t>
  </si>
  <si>
    <t>LDF</t>
  </si>
  <si>
    <t>Projected</t>
  </si>
  <si>
    <t>Ultimate</t>
  </si>
  <si>
    <t>Total</t>
  </si>
  <si>
    <t>Paid LDF Method</t>
  </si>
  <si>
    <t>Paid Losses ($000) at Accident Period Maturity in Months</t>
  </si>
  <si>
    <t>Paid Loss Development Factors (LDF's)</t>
  </si>
  <si>
    <t>Reported Claim Counts at Accident Period Maturity in Months</t>
  </si>
  <si>
    <t>Reported Claim Count Development Factors</t>
  </si>
  <si>
    <t>Paid</t>
  </si>
  <si>
    <t>Reported</t>
  </si>
  <si>
    <t>Counts</t>
  </si>
  <si>
    <t>Reported Claim Count Development Method</t>
  </si>
  <si>
    <t>Reported Counts and Averages Method</t>
  </si>
  <si>
    <t>Average Incurred Loss at Accident Period Maturity in Months</t>
  </si>
  <si>
    <t>Average</t>
  </si>
  <si>
    <t>Inc'd Loss</t>
  </si>
  <si>
    <t>Claim</t>
  </si>
  <si>
    <t>Count</t>
  </si>
  <si>
    <t>Losses</t>
  </si>
  <si>
    <t>($000)</t>
  </si>
  <si>
    <t>Earned</t>
  </si>
  <si>
    <t>Premium</t>
  </si>
  <si>
    <t>Expected</t>
  </si>
  <si>
    <t>Loss Ratio</t>
  </si>
  <si>
    <t>IBNR</t>
  </si>
  <si>
    <t>Factor</t>
  </si>
  <si>
    <t>Indicated</t>
  </si>
  <si>
    <t>Method</t>
  </si>
  <si>
    <t>Counts &amp;</t>
  </si>
  <si>
    <t>Averages</t>
  </si>
  <si>
    <t>B-F</t>
  </si>
  <si>
    <t>Projected Ultimate Losses</t>
  </si>
  <si>
    <t>Summary of Ultimate Loss Estimates ($000)</t>
  </si>
  <si>
    <t>Average Incurred Loss Development Factors</t>
  </si>
  <si>
    <t>Projected Ultimate Loss Ratios</t>
  </si>
  <si>
    <t>Ratio</t>
  </si>
  <si>
    <t>Calendar</t>
  </si>
  <si>
    <t>Loss</t>
  </si>
  <si>
    <t>Total Loss and Loss Adjustment Expenses Reserves ($000)</t>
  </si>
  <si>
    <t>Inc'd Losses</t>
  </si>
  <si>
    <t>Case O/S</t>
  </si>
  <si>
    <t>IBNR Losses</t>
  </si>
  <si>
    <t>Unpaid</t>
  </si>
  <si>
    <t>Estimated</t>
  </si>
  <si>
    <t>Total Loss and Loss Adjustment Expense Reserve</t>
  </si>
  <si>
    <t>Estimated Redundancy/(Deficiency):</t>
  </si>
  <si>
    <t>?</t>
  </si>
  <si>
    <t>Diagnostics - Cumulative Closed Claim Counts</t>
  </si>
  <si>
    <t>Cumulative Closed Claim Development Factors</t>
  </si>
  <si>
    <t>Percentage Change from Prior Accident Year</t>
  </si>
  <si>
    <t>Diagnostics - Changes in Average Paid Losses per Closed Claim</t>
  </si>
  <si>
    <t>Average Paid Losses per Closed Claim</t>
  </si>
  <si>
    <t>Diagnostics - Changes in Average Case O/S Losses per Open Claim</t>
  </si>
  <si>
    <t>Average Case O/S Losses per Open Claim</t>
  </si>
  <si>
    <t>Diagnostics - Claim Count Reporting and Closing Patterns</t>
  </si>
  <si>
    <t>Ratio of Reported Claim Counts to Ultimate Claim Counts</t>
  </si>
  <si>
    <t>Ratio of Closed Claim Counts to Ultimate Claim Counts</t>
  </si>
  <si>
    <t>Average Case O/S Loss</t>
  </si>
  <si>
    <t>Possible Solution #1 - Adjustment to Case O/S Losses for Changes in Case</t>
  </si>
  <si>
    <t>Restated</t>
  </si>
  <si>
    <t>Paid Losses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</si>
  <si>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</si>
  <si>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</si>
  <si>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</si>
  <si>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</si>
  <si>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</si>
  <si>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</si>
  <si>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</si>
  <si>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</si>
  <si>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</si>
  <si>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</si>
  <si>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</si>
  <si>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</si>
  <si>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</si>
  <si>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</si>
  <si>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</si>
  <si>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</si>
  <si>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</si>
  <si>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</si>
  <si>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</si>
  <si>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</si>
  <si>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</si>
  <si>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</si>
  <si>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(Answer off slightly due to rounding)</t>
  </si>
  <si>
    <t>from triangle above</t>
  </si>
  <si>
    <t>or</t>
  </si>
  <si>
    <t>selected based on judgment</t>
  </si>
  <si>
    <t>industry tail factor has been selected</t>
  </si>
  <si>
    <t>from "Age to Ult" line above, 12 months to ultimate</t>
  </si>
  <si>
    <t>from projected ultimate losses using Paid LDF Method</t>
  </si>
  <si>
    <t>Average Incurred Losses per Reported Claim</t>
  </si>
  <si>
    <t>Diagnostics - Ratio of Paid Losses to Incurred Losses</t>
  </si>
  <si>
    <t>Ratio of Paid Losses to Incurred Losses</t>
  </si>
  <si>
    <t>Diagnostics - Changes in Avg Incurred Losses per Reported Claim</t>
  </si>
  <si>
    <t>Restated Incurred Losses (Paid Losses + Restated Total Case O/S Losses)</t>
  </si>
  <si>
    <t>Restated Incurred Loss Development Factors</t>
  </si>
  <si>
    <t>Possible Solution #2 - Adjustment to Incurred Losses for Changes in</t>
  </si>
  <si>
    <t>Incurred Losses</t>
  </si>
  <si>
    <t>Latest Diagonal Paid Loss To Incurred Loss Ratio</t>
  </si>
  <si>
    <t>=</t>
  </si>
  <si>
    <t>Diagnostics - Open Claim Counts</t>
  </si>
  <si>
    <t>Open Claim Count Development Factors</t>
  </si>
  <si>
    <t>0.776 = 10,893 / 14,042</t>
  </si>
  <si>
    <t>8,946 = 6,940 /0 .776</t>
  </si>
  <si>
    <t>Paid DCC Ratio Development Method</t>
  </si>
  <si>
    <t>Ratio of Paid DCC to Paid Losses</t>
  </si>
  <si>
    <t>Ratio of Paid DCC to Paid Losses Development Factors</t>
  </si>
  <si>
    <t>Paid DCC</t>
  </si>
  <si>
    <t>DCC</t>
  </si>
  <si>
    <t>DCC Ratio</t>
  </si>
  <si>
    <t>AO</t>
  </si>
  <si>
    <t>AO Ratio Estimate</t>
  </si>
  <si>
    <t xml:space="preserve">(b) </t>
  </si>
  <si>
    <t xml:space="preserve">(a) </t>
  </si>
  <si>
    <t xml:space="preserve">(c) </t>
  </si>
  <si>
    <t xml:space="preserve">(d) </t>
  </si>
  <si>
    <t xml:space="preserve">(e) </t>
  </si>
  <si>
    <t xml:space="preserve">(f) </t>
  </si>
  <si>
    <t xml:space="preserve">(g) </t>
  </si>
  <si>
    <t xml:space="preserve">(h) </t>
  </si>
  <si>
    <t xml:space="preserve">(i) </t>
  </si>
  <si>
    <t xml:space="preserve">(j) </t>
  </si>
  <si>
    <t xml:space="preserve">(q) </t>
  </si>
  <si>
    <t xml:space="preserve">(r) </t>
  </si>
  <si>
    <t xml:space="preserve">(k) </t>
  </si>
  <si>
    <t xml:space="preserve">(l) </t>
  </si>
  <si>
    <t xml:space="preserve">(m) </t>
  </si>
  <si>
    <t xml:space="preserve">(o) </t>
  </si>
  <si>
    <t xml:space="preserve">(n) </t>
  </si>
  <si>
    <t xml:space="preserve">(p) </t>
  </si>
  <si>
    <t xml:space="preserve">(s) </t>
  </si>
  <si>
    <t xml:space="preserve">(t) </t>
  </si>
  <si>
    <t xml:space="preserve">(u) </t>
  </si>
  <si>
    <t xml:space="preserve">(v) </t>
  </si>
  <si>
    <t xml:space="preserve">(w) </t>
  </si>
  <si>
    <t xml:space="preserve">          Reserve Adequacy Using Average Case O/S Values</t>
  </si>
  <si>
    <t xml:space="preserve">         Case Reserve Adequacy using Paid Loss to Incurred Loss Ratio</t>
  </si>
  <si>
    <t>trend</t>
  </si>
  <si>
    <t>Trend assumption used in Appendix exhibits</t>
  </si>
  <si>
    <t xml:space="preserve">     Restated Total Case O/S Loss (Adjusted Average Case O/S Loss x Number of Open Claims)</t>
  </si>
  <si>
    <t xml:space="preserve">      Restated Incurred Losses (Paid Losses/Latest Diagonal Paid Loss to Incurred Loss Ratio)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</si>
</sst>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_);[Red]\(#,##0.000\)"/>
    <numFmt numFmtId="166" formatCode="#,##0.0_);[Red]\(#,##0.0\)"/>
    <numFmt numFmtId="167" formatCode=";;;"/>
    <numFmt numFmtId="168" formatCode="0.000%"/>
    <numFmt numFmtId="169" formatCode="0.00000"/>
    <numFmt numFmtId="170" formatCode="0.0000"/>
    <numFmt numFmtId="171" formatCode="0.000"/>
    <numFmt numFmtId="172" formatCode="0.0"/>
    <numFmt numFmtId="173" formatCode=".000"/>
    <numFmt numFmtId="174" formatCode=".0"/>
  </numFmts>
  <fonts count="9">
    <font>
      <sz val="10"/>
      <color indexed="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8" fontId="0" fillId="0" borderId="0" xfId="15" applyAlignment="1">
      <alignment/>
    </xf>
    <xf numFmtId="38" fontId="0" fillId="0" borderId="0" xfId="0" applyNumberFormat="1" applyAlignment="1">
      <alignment/>
    </xf>
    <xf numFmtId="38" fontId="0" fillId="0" borderId="0" xfId="15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38" fontId="0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8" fontId="5" fillId="0" borderId="0" xfId="15" applyFont="1" applyAlignment="1">
      <alignment/>
    </xf>
    <xf numFmtId="0" fontId="5" fillId="0" borderId="0" xfId="0" applyFont="1" applyAlignment="1">
      <alignment horizontal="center"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0" applyNumberFormat="1" applyAlignment="1">
      <alignment/>
    </xf>
    <xf numFmtId="165" fontId="5" fillId="0" borderId="0" xfId="15" applyNumberFormat="1" applyFont="1" applyAlignment="1">
      <alignment/>
    </xf>
    <xf numFmtId="165" fontId="0" fillId="0" borderId="0" xfId="15" applyNumberFormat="1" applyAlignment="1">
      <alignment/>
    </xf>
    <xf numFmtId="14" fontId="5" fillId="0" borderId="0" xfId="0" applyNumberFormat="1" applyFont="1" applyAlignment="1">
      <alignment horizontal="left"/>
    </xf>
    <xf numFmtId="38" fontId="4" fillId="0" borderId="0" xfId="15" applyFont="1" applyAlignment="1">
      <alignment horizontal="center"/>
    </xf>
    <xf numFmtId="38" fontId="6" fillId="0" borderId="0" xfId="15" applyFont="1" applyAlignment="1">
      <alignment horizontal="center"/>
    </xf>
    <xf numFmtId="165" fontId="0" fillId="0" borderId="0" xfId="15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0" xfId="15" applyFont="1" applyAlignment="1">
      <alignment/>
    </xf>
    <xf numFmtId="38" fontId="4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38" fontId="7" fillId="0" borderId="0" xfId="0" applyNumberFormat="1" applyFont="1" applyAlignment="1">
      <alignment/>
    </xf>
    <xf numFmtId="38" fontId="6" fillId="0" borderId="0" xfId="0" applyNumberFormat="1" applyFont="1" applyAlignment="1">
      <alignment horizontal="center"/>
    </xf>
    <xf numFmtId="0" fontId="0" fillId="0" borderId="1" xfId="0" applyBorder="1" applyAlignment="1">
      <alignment horizontal="centerContinuous"/>
    </xf>
    <xf numFmtId="167" fontId="0" fillId="0" borderId="0" xfId="15" applyNumberFormat="1" applyAlignment="1">
      <alignment horizontal="center"/>
    </xf>
    <xf numFmtId="167" fontId="4" fillId="0" borderId="0" xfId="15" applyNumberFormat="1" applyFont="1" applyAlignment="1">
      <alignment horizontal="center"/>
    </xf>
    <xf numFmtId="167" fontId="5" fillId="0" borderId="0" xfId="15" applyNumberFormat="1" applyFont="1" applyAlignment="1">
      <alignment horizontal="center"/>
    </xf>
    <xf numFmtId="164" fontId="0" fillId="0" borderId="0" xfId="19" applyAlignment="1">
      <alignment/>
    </xf>
    <xf numFmtId="9" fontId="0" fillId="0" borderId="0" xfId="19" applyNumberFormat="1" applyAlignment="1">
      <alignment/>
    </xf>
    <xf numFmtId="9" fontId="4" fillId="0" borderId="0" xfId="19" applyNumberFormat="1" applyFont="1" applyAlignment="1">
      <alignment/>
    </xf>
    <xf numFmtId="10" fontId="4" fillId="0" borderId="0" xfId="19" applyNumberFormat="1" applyFont="1" applyAlignment="1">
      <alignment/>
    </xf>
    <xf numFmtId="10" fontId="4" fillId="0" borderId="0" xfId="19" applyNumberFormat="1" applyFont="1" applyAlignment="1" quotePrefix="1">
      <alignment horizontal="right"/>
    </xf>
    <xf numFmtId="0" fontId="5" fillId="0" borderId="0" xfId="0" applyFont="1" applyBorder="1" applyAlignment="1">
      <alignment horizontal="center"/>
    </xf>
    <xf numFmtId="6" fontId="5" fillId="0" borderId="0" xfId="0" applyNumberFormat="1" applyFont="1" applyBorder="1" applyAlignment="1" quotePrefix="1">
      <alignment horizontal="center"/>
    </xf>
    <xf numFmtId="10" fontId="0" fillId="0" borderId="0" xfId="19" applyNumberFormat="1" applyAlignment="1">
      <alignment/>
    </xf>
    <xf numFmtId="6" fontId="0" fillId="0" borderId="1" xfId="0" applyNumberFormat="1" applyBorder="1" applyAlignment="1">
      <alignment horizontal="center"/>
    </xf>
    <xf numFmtId="6" fontId="0" fillId="0" borderId="1" xfId="0" applyNumberFormat="1" applyBorder="1" applyAlignment="1" quotePrefix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38" fontId="0" fillId="0" borderId="0" xfId="0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  <xf numFmtId="9" fontId="0" fillId="0" borderId="0" xfId="19" applyNumberFormat="1" applyAlignment="1">
      <alignment/>
    </xf>
    <xf numFmtId="167" fontId="0" fillId="0" borderId="0" xfId="15" applyNumberFormat="1" applyAlignment="1">
      <alignment horizontal="center"/>
    </xf>
    <xf numFmtId="38" fontId="4" fillId="0" borderId="0" xfId="15" applyFont="1" applyAlignment="1">
      <alignment horizontal="right"/>
    </xf>
    <xf numFmtId="164" fontId="0" fillId="0" borderId="2" xfId="19" applyBorder="1" applyAlignment="1">
      <alignment/>
    </xf>
    <xf numFmtId="164" fontId="0" fillId="0" borderId="0" xfId="19" applyBorder="1" applyAlignment="1">
      <alignment/>
    </xf>
    <xf numFmtId="165" fontId="4" fillId="0" borderId="0" xfId="15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38" fontId="0" fillId="0" borderId="0" xfId="15" applyBorder="1" applyAlignment="1">
      <alignment/>
    </xf>
    <xf numFmtId="38" fontId="0" fillId="0" borderId="2" xfId="15" applyBorder="1" applyAlignment="1">
      <alignment/>
    </xf>
    <xf numFmtId="38" fontId="4" fillId="0" borderId="0" xfId="15" applyFont="1" applyBorder="1" applyAlignment="1">
      <alignment/>
    </xf>
    <xf numFmtId="38" fontId="0" fillId="0" borderId="3" xfId="15" applyBorder="1" applyAlignment="1">
      <alignment/>
    </xf>
    <xf numFmtId="165" fontId="0" fillId="0" borderId="0" xfId="15" applyNumberFormat="1" applyFont="1" applyAlignment="1">
      <alignment horizontal="right"/>
    </xf>
    <xf numFmtId="165" fontId="4" fillId="0" borderId="0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38" fontId="4" fillId="0" borderId="3" xfId="15" applyFont="1" applyBorder="1" applyAlignment="1">
      <alignment/>
    </xf>
    <xf numFmtId="38" fontId="4" fillId="0" borderId="6" xfId="15" applyFont="1" applyBorder="1" applyAlignment="1">
      <alignment/>
    </xf>
    <xf numFmtId="38" fontId="4" fillId="0" borderId="7" xfId="15" applyFont="1" applyBorder="1" applyAlignment="1">
      <alignment/>
    </xf>
    <xf numFmtId="165" fontId="0" fillId="0" borderId="7" xfId="15" applyNumberFormat="1" applyBorder="1" applyAlignment="1">
      <alignment/>
    </xf>
    <xf numFmtId="0" fontId="0" fillId="0" borderId="5" xfId="0" applyBorder="1" applyAlignment="1">
      <alignment/>
    </xf>
    <xf numFmtId="38" fontId="4" fillId="0" borderId="0" xfId="15" applyFont="1" applyBorder="1" applyAlignment="1">
      <alignment/>
    </xf>
    <xf numFmtId="165" fontId="4" fillId="0" borderId="0" xfId="15" applyNumberFormat="1" applyFont="1" applyAlignment="1">
      <alignment/>
    </xf>
    <xf numFmtId="6" fontId="4" fillId="0" borderId="1" xfId="0" applyNumberFormat="1" applyFont="1" applyBorder="1" applyAlignment="1" quotePrefix="1">
      <alignment horizontal="center"/>
    </xf>
    <xf numFmtId="165" fontId="4" fillId="0" borderId="0" xfId="15" applyNumberFormat="1" applyFont="1" applyAlignment="1">
      <alignment horizontal="right"/>
    </xf>
    <xf numFmtId="171" fontId="0" fillId="0" borderId="0" xfId="0" applyNumberFormat="1" applyAlignment="1">
      <alignment/>
    </xf>
    <xf numFmtId="164" fontId="0" fillId="0" borderId="0" xfId="19" applyNumberFormat="1" applyAlignment="1">
      <alignment/>
    </xf>
    <xf numFmtId="0" fontId="0" fillId="0" borderId="0" xfId="0" applyAlignment="1" quotePrefix="1">
      <alignment/>
    </xf>
    <xf numFmtId="37" fontId="4" fillId="0" borderId="0" xfId="0" applyNumberFormat="1" applyFont="1" applyAlignment="1">
      <alignment/>
    </xf>
    <xf numFmtId="38" fontId="0" fillId="0" borderId="0" xfId="15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165" fontId="0" fillId="0" borderId="8" xfId="15" applyNumberFormat="1" applyFont="1" applyBorder="1" applyAlignment="1" quotePrefix="1">
      <alignment horizontal="left"/>
    </xf>
    <xf numFmtId="165" fontId="0" fillId="0" borderId="9" xfId="15" applyNumberFormat="1" applyBorder="1" applyAlignment="1">
      <alignment/>
    </xf>
    <xf numFmtId="0" fontId="0" fillId="0" borderId="8" xfId="0" applyBorder="1" applyAlignment="1" quotePrefix="1">
      <alignment horizontal="left"/>
    </xf>
    <xf numFmtId="0" fontId="0" fillId="0" borderId="9" xfId="0" applyBorder="1" applyAlignment="1">
      <alignment/>
    </xf>
    <xf numFmtId="38" fontId="1" fillId="0" borderId="0" xfId="15" applyFont="1" applyAlignment="1">
      <alignment horizontal="right"/>
    </xf>
    <xf numFmtId="38" fontId="6" fillId="0" borderId="0" xfId="15" applyFont="1" applyAlignment="1">
      <alignment horizontal="right"/>
    </xf>
    <xf numFmtId="38" fontId="6" fillId="0" borderId="0" xfId="15" applyFont="1" applyAlignment="1" quotePrefix="1">
      <alignment horizontal="right"/>
    </xf>
    <xf numFmtId="165" fontId="1" fillId="0" borderId="0" xfId="15" applyNumberFormat="1" applyFont="1" applyAlignment="1">
      <alignment horizontal="right"/>
    </xf>
    <xf numFmtId="165" fontId="6" fillId="0" borderId="0" xfId="15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38" fontId="1" fillId="0" borderId="0" xfId="15" applyFont="1" applyAlignment="1" quotePrefix="1">
      <alignment horizontal="right"/>
    </xf>
    <xf numFmtId="10" fontId="1" fillId="0" borderId="0" xfId="19" applyNumberFormat="1" applyFont="1" applyAlignment="1" quotePrefix="1">
      <alignment horizontal="right"/>
    </xf>
    <xf numFmtId="38" fontId="1" fillId="0" borderId="0" xfId="15" applyFont="1" applyBorder="1" applyAlignment="1">
      <alignment horizontal="right"/>
    </xf>
    <xf numFmtId="38" fontId="6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right"/>
    </xf>
    <xf numFmtId="9" fontId="6" fillId="0" borderId="0" xfId="19" applyNumberFormat="1" applyFont="1" applyAlignment="1" quotePrefix="1">
      <alignment horizontal="right"/>
    </xf>
    <xf numFmtId="0" fontId="6" fillId="0" borderId="0" xfId="0" applyFont="1" applyAlignment="1" quotePrefix="1">
      <alignment horizontal="right"/>
    </xf>
    <xf numFmtId="38" fontId="6" fillId="0" borderId="0" xfId="0" applyNumberFormat="1" applyFont="1" applyAlignment="1" quotePrefix="1">
      <alignment horizontal="right"/>
    </xf>
    <xf numFmtId="0" fontId="6" fillId="0" borderId="1" xfId="0" applyFont="1" applyBorder="1" applyAlignment="1" quotePrefix="1">
      <alignment horizontal="right"/>
    </xf>
    <xf numFmtId="38" fontId="0" fillId="0" borderId="0" xfId="15" applyAlignment="1">
      <alignment/>
    </xf>
    <xf numFmtId="10" fontId="4" fillId="0" borderId="0" xfId="19" applyNumberFormat="1" applyFont="1" applyAlignment="1">
      <alignment horizontal="right"/>
    </xf>
    <xf numFmtId="0" fontId="0" fillId="0" borderId="0" xfId="0" applyAlignment="1">
      <alignment horizontal="right"/>
    </xf>
    <xf numFmtId="38" fontId="0" fillId="0" borderId="0" xfId="15" applyFont="1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164" fontId="5" fillId="0" borderId="0" xfId="19" applyFont="1" applyAlignment="1">
      <alignment horizontal="left"/>
    </xf>
    <xf numFmtId="3" fontId="8" fillId="0" borderId="0" xfId="19" applyNumberFormat="1" applyFont="1" applyAlignment="1">
      <alignment/>
    </xf>
    <xf numFmtId="3" fontId="4" fillId="0" borderId="0" xfId="19" applyNumberFormat="1" applyFont="1" applyAlignment="1">
      <alignment/>
    </xf>
    <xf numFmtId="173" fontId="4" fillId="0" borderId="0" xfId="19" applyNumberFormat="1" applyFont="1" applyAlignment="1">
      <alignment/>
    </xf>
    <xf numFmtId="17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1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14.7109375" style="0" customWidth="1"/>
    <col min="3" max="3" width="27.57421875" style="0" bestFit="1" customWidth="1"/>
    <col min="4" max="4" width="35.140625" style="0" bestFit="1" customWidth="1"/>
    <col min="5" max="9" width="9.28125" style="0" customWidth="1"/>
  </cols>
  <sheetData>
    <row r="4" spans="2:4" ht="12.75">
      <c r="B4" s="5" t="s">
        <v>2</v>
      </c>
      <c r="C4" s="5" t="s">
        <v>3</v>
      </c>
      <c r="D4" s="5" t="s">
        <v>4</v>
      </c>
    </row>
    <row r="6" spans="2:4" ht="12.75">
      <c r="B6" t="s">
        <v>6</v>
      </c>
      <c r="C6" s="6">
        <v>2001</v>
      </c>
      <c r="D6" t="s">
        <v>5</v>
      </c>
    </row>
    <row r="7" spans="2:4" ht="12.75">
      <c r="B7" t="s">
        <v>22</v>
      </c>
      <c r="C7" s="17">
        <v>37256</v>
      </c>
      <c r="D7" t="s">
        <v>23</v>
      </c>
    </row>
    <row r="8" spans="2:5" ht="12.75">
      <c r="B8" s="7" t="s">
        <v>7</v>
      </c>
      <c r="C8" s="4" t="s">
        <v>8</v>
      </c>
      <c r="D8" s="2" t="s">
        <v>9</v>
      </c>
      <c r="E8" s="2"/>
    </row>
    <row r="9" spans="2:5" ht="12.75">
      <c r="B9" s="7" t="s">
        <v>10</v>
      </c>
      <c r="C9" s="4" t="s">
        <v>11</v>
      </c>
      <c r="D9" t="s">
        <v>12</v>
      </c>
      <c r="E9" s="2"/>
    </row>
    <row r="10" spans="2:5" ht="12.75">
      <c r="B10" s="7" t="s">
        <v>165</v>
      </c>
      <c r="C10" s="108">
        <v>0.09</v>
      </c>
      <c r="D10" t="s">
        <v>166</v>
      </c>
      <c r="E10" s="2"/>
    </row>
    <row r="11" spans="2:3" ht="12.75">
      <c r="B11" s="7"/>
      <c r="C11" s="107"/>
    </row>
    <row r="12" spans="2:3" ht="12.75">
      <c r="B12" s="7"/>
      <c r="C12" s="112"/>
    </row>
  </sheetData>
  <printOptions horizontalCentered="1"/>
  <pageMargins left="0.25" right="0.25" top="0.5" bottom="0.5" header="0.25" footer="0.25"/>
  <pageSetup blackAndWhite="1"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266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13.7109375" style="0" customWidth="1"/>
    <col min="3" max="3" width="10.421875" style="0" bestFit="1" customWidth="1"/>
    <col min="4" max="4" width="9.28125" style="0" customWidth="1"/>
    <col min="5" max="5" width="10.28125" style="0" bestFit="1" customWidth="1"/>
    <col min="6" max="9" width="9.28125" style="0" customWidth="1"/>
    <col min="15" max="15" width="10.7109375" style="0" customWidth="1"/>
    <col min="16" max="17" width="8.8515625" style="0" bestFit="1" customWidth="1"/>
    <col min="24" max="30" width="13.140625" style="0" customWidth="1"/>
  </cols>
  <sheetData>
    <row r="4" spans="2:24" ht="12.75">
      <c r="B4" t="str">
        <f>title1</f>
        <v>Monstertruck Mutual</v>
      </c>
      <c r="M4" t="str">
        <f>title1</f>
        <v>Monstertruck Mutual</v>
      </c>
      <c r="X4" t="str">
        <f>title1</f>
        <v>Monstertruck Mutual</v>
      </c>
    </row>
    <row r="5" spans="2:24" ht="12.75">
      <c r="B5" t="str">
        <f>line</f>
        <v>Commercial Automobile Liability</v>
      </c>
      <c r="M5" t="str">
        <f>line</f>
        <v>Commercial Automobile Liability</v>
      </c>
      <c r="X5" t="str">
        <f>line</f>
        <v>Commercial Automobile Liability</v>
      </c>
    </row>
    <row r="7" spans="3:24" ht="12.75">
      <c r="C7" s="22" t="s">
        <v>13</v>
      </c>
      <c r="M7" s="22" t="str">
        <f>"Bornhuetter-Ferguson (B-F) Method for Accident Years "&amp;M11&amp;" and "&amp;M12</f>
        <v>Bornhuetter-Ferguson (B-F) Method for Accident Years 2000 and 2001</v>
      </c>
      <c r="X7" s="22" t="s">
        <v>66</v>
      </c>
    </row>
    <row r="8" spans="2:30" ht="12.75">
      <c r="B8" s="57" t="s">
        <v>0</v>
      </c>
      <c r="C8" s="22"/>
      <c r="X8" s="43"/>
      <c r="Y8" s="43"/>
      <c r="Z8" s="43"/>
      <c r="AA8" s="43"/>
      <c r="AD8" s="8" t="s">
        <v>30</v>
      </c>
    </row>
    <row r="9" spans="2:30" ht="12.75">
      <c r="B9" s="56" t="s">
        <v>1</v>
      </c>
      <c r="C9" s="56">
        <v>12</v>
      </c>
      <c r="D9" s="9">
        <f aca="true" t="shared" si="0" ref="D9:I9">C9+12</f>
        <v>24</v>
      </c>
      <c r="E9" s="9">
        <f t="shared" si="0"/>
        <v>36</v>
      </c>
      <c r="F9" s="9">
        <f t="shared" si="0"/>
        <v>48</v>
      </c>
      <c r="G9" s="9">
        <f t="shared" si="0"/>
        <v>60</v>
      </c>
      <c r="H9" s="9">
        <f t="shared" si="0"/>
        <v>72</v>
      </c>
      <c r="I9" s="9">
        <f t="shared" si="0"/>
        <v>84</v>
      </c>
      <c r="M9" s="8" t="str">
        <f>B8</f>
        <v>Accident</v>
      </c>
      <c r="N9" s="8" t="s">
        <v>48</v>
      </c>
      <c r="O9" s="8" t="s">
        <v>50</v>
      </c>
      <c r="P9" s="8" t="s">
        <v>50</v>
      </c>
      <c r="Q9" s="8" t="s">
        <v>52</v>
      </c>
      <c r="R9" s="8" t="s">
        <v>54</v>
      </c>
      <c r="S9" s="8" t="s">
        <v>24</v>
      </c>
      <c r="T9" s="8" t="s">
        <v>29</v>
      </c>
      <c r="X9" s="43"/>
      <c r="Y9" s="25" t="s">
        <v>28</v>
      </c>
      <c r="Z9" s="25" t="s">
        <v>24</v>
      </c>
      <c r="AA9" s="25" t="s">
        <v>36</v>
      </c>
      <c r="AB9" s="8" t="s">
        <v>68</v>
      </c>
      <c r="AC9" s="8" t="s">
        <v>28</v>
      </c>
      <c r="AD9" s="8" t="s">
        <v>70</v>
      </c>
    </row>
    <row r="10" spans="2:31" ht="12.75">
      <c r="B10" s="8">
        <f aca="true" t="shared" si="1" ref="B10:B15">B11-1</f>
        <v>1995</v>
      </c>
      <c r="C10" s="23">
        <v>4392</v>
      </c>
      <c r="D10" s="23">
        <v>5819</v>
      </c>
      <c r="E10" s="23">
        <v>6553</v>
      </c>
      <c r="F10" s="23">
        <v>6979</v>
      </c>
      <c r="G10" s="23">
        <v>7209</v>
      </c>
      <c r="H10" s="23">
        <v>7317</v>
      </c>
      <c r="I10" s="23">
        <v>7332</v>
      </c>
      <c r="M10" s="9" t="str">
        <f>B9</f>
        <v>Year</v>
      </c>
      <c r="N10" s="9" t="s">
        <v>49</v>
      </c>
      <c r="O10" s="9" t="s">
        <v>51</v>
      </c>
      <c r="P10" s="9" t="s">
        <v>46</v>
      </c>
      <c r="Q10" s="9" t="s">
        <v>53</v>
      </c>
      <c r="R10" s="9" t="s">
        <v>52</v>
      </c>
      <c r="S10" s="9" t="s">
        <v>46</v>
      </c>
      <c r="T10" s="9" t="s">
        <v>46</v>
      </c>
      <c r="X10" s="8" t="s">
        <v>0</v>
      </c>
      <c r="Y10" s="8" t="s">
        <v>29</v>
      </c>
      <c r="Z10" s="8" t="s">
        <v>46</v>
      </c>
      <c r="AA10" s="8" t="s">
        <v>46</v>
      </c>
      <c r="AB10" s="8" t="s">
        <v>46</v>
      </c>
      <c r="AC10" t="s">
        <v>69</v>
      </c>
      <c r="AD10" s="8" t="s">
        <v>46</v>
      </c>
      <c r="AE10" s="8"/>
    </row>
    <row r="11" spans="2:31" ht="12.75">
      <c r="B11" s="8">
        <f t="shared" si="1"/>
        <v>1996</v>
      </c>
      <c r="C11" s="23">
        <v>5117</v>
      </c>
      <c r="D11" s="23">
        <v>6913</v>
      </c>
      <c r="E11" s="23">
        <v>7950</v>
      </c>
      <c r="F11" s="23">
        <v>8482</v>
      </c>
      <c r="G11" s="23">
        <v>8728</v>
      </c>
      <c r="H11" s="23">
        <v>8833</v>
      </c>
      <c r="I11" s="23"/>
      <c r="M11" s="8">
        <f>M12-1</f>
        <v>2000</v>
      </c>
      <c r="N11" s="7">
        <f>N28</f>
        <v>21212</v>
      </c>
      <c r="O11" s="55">
        <v>0.78</v>
      </c>
      <c r="P11" s="24">
        <f>O11*N11</f>
        <v>16545.36</v>
      </c>
      <c r="Q11" s="16">
        <f>1-1/D48</f>
        <v>0.2223917478174431</v>
      </c>
      <c r="R11" s="86" t="s">
        <v>153</v>
      </c>
      <c r="S11" s="2">
        <f>C48</f>
        <v>13367</v>
      </c>
      <c r="T11" s="86" t="s">
        <v>154</v>
      </c>
      <c r="X11" s="9" t="s">
        <v>1</v>
      </c>
      <c r="Y11" s="40" t="s">
        <v>46</v>
      </c>
      <c r="Z11" s="56" t="str">
        <f>"at "&amp;TEXT(curreval,"m/d/yy")</f>
        <v>at 12/31/01</v>
      </c>
      <c r="AA11" s="56" t="str">
        <f>"at "&amp;TEXT(curreval,"m/d/yy")</f>
        <v>at 12/31/01</v>
      </c>
      <c r="AB11" s="56" t="str">
        <f>"at "&amp;TEXT(curreval,"m/d/yy")</f>
        <v>at 12/31/01</v>
      </c>
      <c r="AC11" s="56" t="str">
        <f>"at "&amp;TEXT(curreval,"m/d/yy")</f>
        <v>at 12/31/01</v>
      </c>
      <c r="AD11" s="56" t="str">
        <f>"at "&amp;TEXT(curreval,"m/d/yy")</f>
        <v>at 12/31/01</v>
      </c>
      <c r="AE11" s="25"/>
    </row>
    <row r="12" spans="2:31" ht="12.75">
      <c r="B12" s="8">
        <f t="shared" si="1"/>
        <v>1997</v>
      </c>
      <c r="C12" s="23">
        <v>5833</v>
      </c>
      <c r="D12" s="23">
        <v>7799</v>
      </c>
      <c r="E12" s="23">
        <v>8883</v>
      </c>
      <c r="F12" s="23">
        <v>9425</v>
      </c>
      <c r="G12" s="23">
        <v>9707</v>
      </c>
      <c r="H12" s="23"/>
      <c r="I12" s="23"/>
      <c r="M12" s="57">
        <f>B16</f>
        <v>2001</v>
      </c>
      <c r="N12" s="7">
        <f>N29</f>
        <v>26383</v>
      </c>
      <c r="O12" s="16">
        <f>O11</f>
        <v>0.78</v>
      </c>
      <c r="P12" s="96" t="s">
        <v>152</v>
      </c>
      <c r="Q12" s="16">
        <f>1-1/D49</f>
        <v>0.44850478568612995</v>
      </c>
      <c r="R12" s="23">
        <f>Q12*N12*O12</f>
        <v>9229.66337339059</v>
      </c>
      <c r="S12" s="2">
        <f>C49</f>
        <v>11500</v>
      </c>
      <c r="T12" s="2">
        <f>S12+R12</f>
        <v>20729.66337339059</v>
      </c>
      <c r="X12" s="8">
        <f aca="true" t="shared" si="2" ref="X12:X17">X13-1</f>
        <v>1995</v>
      </c>
      <c r="Y12" s="2">
        <f aca="true" t="shared" si="3" ref="Y12:Y17">S23</f>
        <v>7427</v>
      </c>
      <c r="Z12" s="2">
        <f>I10</f>
        <v>7332</v>
      </c>
      <c r="AA12" s="2">
        <f>I62</f>
        <v>6953</v>
      </c>
      <c r="AB12" s="99" t="s">
        <v>159</v>
      </c>
      <c r="AC12" s="2">
        <f>Y12-Z12</f>
        <v>95</v>
      </c>
      <c r="AD12" s="2">
        <f>Y12-AA12</f>
        <v>474</v>
      </c>
      <c r="AE12" s="27"/>
    </row>
    <row r="13" spans="2:31" ht="12.75">
      <c r="B13" s="8">
        <f t="shared" si="1"/>
        <v>1998</v>
      </c>
      <c r="C13" s="23">
        <v>6912</v>
      </c>
      <c r="D13" s="23">
        <v>9732</v>
      </c>
      <c r="E13" s="23">
        <v>11036</v>
      </c>
      <c r="F13" s="23">
        <v>11754</v>
      </c>
      <c r="G13" s="23"/>
      <c r="H13" s="23"/>
      <c r="I13" s="23"/>
      <c r="P13" s="86"/>
      <c r="R13" s="86"/>
      <c r="X13" s="8">
        <f t="shared" si="2"/>
        <v>1996</v>
      </c>
      <c r="Y13" s="2">
        <f t="shared" si="3"/>
        <v>8950</v>
      </c>
      <c r="Z13" s="2">
        <f>H11</f>
        <v>8833</v>
      </c>
      <c r="AA13" s="2">
        <f>H63</f>
        <v>8222</v>
      </c>
      <c r="AB13" s="2">
        <f aca="true" t="shared" si="4" ref="AB13:AB18">Z13-AA13</f>
        <v>611</v>
      </c>
      <c r="AC13" s="2">
        <f>Y13-Z13</f>
        <v>117</v>
      </c>
      <c r="AD13" s="2">
        <f aca="true" t="shared" si="5" ref="AD13:AD18">Y13-AA13</f>
        <v>728</v>
      </c>
      <c r="AE13" s="2"/>
    </row>
    <row r="14" spans="2:30" ht="12.75">
      <c r="B14" s="8">
        <f t="shared" si="1"/>
        <v>1999</v>
      </c>
      <c r="C14" s="23">
        <v>8225</v>
      </c>
      <c r="D14" s="23">
        <v>11787</v>
      </c>
      <c r="E14" s="23">
        <v>13484</v>
      </c>
      <c r="F14" s="23"/>
      <c r="G14" s="23"/>
      <c r="H14" s="23"/>
      <c r="I14" s="23"/>
      <c r="X14" s="8">
        <f t="shared" si="2"/>
        <v>1997</v>
      </c>
      <c r="Y14" s="2">
        <f t="shared" si="3"/>
        <v>10000</v>
      </c>
      <c r="Z14" s="2">
        <f>G12</f>
        <v>9707</v>
      </c>
      <c r="AA14" s="2">
        <f>G64</f>
        <v>8941</v>
      </c>
      <c r="AB14" s="2">
        <f t="shared" si="4"/>
        <v>766</v>
      </c>
      <c r="AC14" s="2">
        <f>Y14-Z14</f>
        <v>293</v>
      </c>
      <c r="AD14" s="2">
        <f t="shared" si="5"/>
        <v>1059</v>
      </c>
    </row>
    <row r="15" spans="2:30" ht="12.75">
      <c r="B15" s="8">
        <f t="shared" si="1"/>
        <v>2000</v>
      </c>
      <c r="C15" s="86" t="s">
        <v>141</v>
      </c>
      <c r="D15" s="23">
        <v>13367</v>
      </c>
      <c r="E15" s="23"/>
      <c r="F15" s="23"/>
      <c r="G15" s="23"/>
      <c r="H15" s="23"/>
      <c r="I15" s="23"/>
      <c r="X15" s="8">
        <f t="shared" si="2"/>
        <v>1998</v>
      </c>
      <c r="Y15" s="2">
        <f t="shared" si="3"/>
        <v>12500</v>
      </c>
      <c r="Z15" s="2">
        <f>F13</f>
        <v>11754</v>
      </c>
      <c r="AA15" s="2">
        <f>F65</f>
        <v>10638</v>
      </c>
      <c r="AB15" s="2">
        <f t="shared" si="4"/>
        <v>1116</v>
      </c>
      <c r="AC15" s="2">
        <f>Y15-Z15</f>
        <v>746</v>
      </c>
      <c r="AD15" s="2">
        <f t="shared" si="5"/>
        <v>1862</v>
      </c>
    </row>
    <row r="16" spans="2:30" ht="12.75">
      <c r="B16" s="57">
        <f>curryr</f>
        <v>2001</v>
      </c>
      <c r="C16" s="23">
        <v>11500</v>
      </c>
      <c r="D16" s="23"/>
      <c r="E16" s="23"/>
      <c r="F16" s="23"/>
      <c r="G16" s="23"/>
      <c r="H16" s="23"/>
      <c r="I16" s="23"/>
      <c r="M16" s="22" t="s">
        <v>60</v>
      </c>
      <c r="X16" s="8">
        <f t="shared" si="2"/>
        <v>1999</v>
      </c>
      <c r="Y16" s="2">
        <f t="shared" si="3"/>
        <v>15350</v>
      </c>
      <c r="Z16" s="2">
        <f>E14</f>
        <v>13484</v>
      </c>
      <c r="AA16" s="2">
        <f>E66</f>
        <v>10893</v>
      </c>
      <c r="AB16" s="2">
        <f t="shared" si="4"/>
        <v>2591</v>
      </c>
      <c r="AC16" s="2">
        <f>Y16-Z16</f>
        <v>1866</v>
      </c>
      <c r="AD16" s="2">
        <f t="shared" si="5"/>
        <v>4457</v>
      </c>
    </row>
    <row r="17" spans="24:30" ht="12.75">
      <c r="X17" s="8">
        <f t="shared" si="2"/>
        <v>2000</v>
      </c>
      <c r="Y17" s="2">
        <f t="shared" si="3"/>
        <v>17000</v>
      </c>
      <c r="Z17" s="2">
        <f>D15</f>
        <v>13367</v>
      </c>
      <c r="AA17" s="2">
        <f>D67</f>
        <v>7932</v>
      </c>
      <c r="AB17" s="2">
        <f t="shared" si="4"/>
        <v>5435</v>
      </c>
      <c r="AC17" s="99" t="s">
        <v>160</v>
      </c>
      <c r="AD17" s="2">
        <f t="shared" si="5"/>
        <v>9068</v>
      </c>
    </row>
    <row r="18" spans="15:30" ht="12.75">
      <c r="O18" s="28" t="s">
        <v>59</v>
      </c>
      <c r="P18" s="28"/>
      <c r="Q18" s="28"/>
      <c r="R18" s="28"/>
      <c r="X18" s="8">
        <f>B16</f>
        <v>2001</v>
      </c>
      <c r="Y18" s="24">
        <v>20900</v>
      </c>
      <c r="Z18" s="2">
        <f>C16</f>
        <v>11500</v>
      </c>
      <c r="AA18" s="2">
        <f>C68</f>
        <v>4370</v>
      </c>
      <c r="AB18" s="2">
        <f t="shared" si="4"/>
        <v>7130</v>
      </c>
      <c r="AC18" s="2">
        <f>Y18-Z18</f>
        <v>9400</v>
      </c>
      <c r="AD18" s="2">
        <f t="shared" si="5"/>
        <v>16530</v>
      </c>
    </row>
    <row r="19" spans="3:19" ht="12.75">
      <c r="C19" s="22" t="s">
        <v>14</v>
      </c>
      <c r="N19" s="8"/>
      <c r="O19" s="8"/>
      <c r="P19" s="8"/>
      <c r="Q19" s="8" t="s">
        <v>37</v>
      </c>
      <c r="R19" s="8"/>
      <c r="S19" s="8"/>
    </row>
    <row r="20" spans="2:30" ht="12.75">
      <c r="B20" s="8" t="str">
        <f aca="true" t="shared" si="6" ref="B20:B27">B8</f>
        <v>Accident</v>
      </c>
      <c r="N20" s="8"/>
      <c r="O20" s="8" t="s">
        <v>24</v>
      </c>
      <c r="P20" s="8" t="s">
        <v>36</v>
      </c>
      <c r="Q20" s="8" t="s">
        <v>56</v>
      </c>
      <c r="R20" s="8"/>
      <c r="S20" s="8"/>
      <c r="X20" s="8" t="s">
        <v>30</v>
      </c>
      <c r="Y20" s="2">
        <f>SUM(Y12:Y18)</f>
        <v>92127</v>
      </c>
      <c r="Z20" s="2">
        <f>SUM(Z12:Z18)</f>
        <v>75977</v>
      </c>
      <c r="AA20" s="2">
        <f>SUM(AA12:AA18)</f>
        <v>57949</v>
      </c>
      <c r="AB20" s="2">
        <f>Z20-AA20</f>
        <v>18028</v>
      </c>
      <c r="AC20" s="2">
        <f>Y20-Z20</f>
        <v>16150</v>
      </c>
      <c r="AD20" s="2">
        <f>SUM(AD12:AD18)</f>
        <v>34178</v>
      </c>
    </row>
    <row r="21" spans="2:19" ht="12.75">
      <c r="B21" s="9" t="str">
        <f t="shared" si="6"/>
        <v>Year</v>
      </c>
      <c r="C21" s="9" t="str">
        <f aca="true" t="shared" si="7" ref="C21:H21">C9&amp;" - "&amp;D9</f>
        <v>12 - 24</v>
      </c>
      <c r="D21" s="9" t="str">
        <f t="shared" si="7"/>
        <v>24 - 36</v>
      </c>
      <c r="E21" s="9" t="str">
        <f t="shared" si="7"/>
        <v>36 - 48</v>
      </c>
      <c r="F21" s="9" t="str">
        <f t="shared" si="7"/>
        <v>48 - 60</v>
      </c>
      <c r="G21" s="9" t="str">
        <f t="shared" si="7"/>
        <v>60 - 72</v>
      </c>
      <c r="H21" s="9" t="str">
        <f t="shared" si="7"/>
        <v>72 - 84</v>
      </c>
      <c r="I21" s="9" t="str">
        <f>I9&amp;" - ULT"</f>
        <v>84 - ULT</v>
      </c>
      <c r="M21" s="8" t="str">
        <f aca="true" t="shared" si="8" ref="M21:M29">B8</f>
        <v>Accident</v>
      </c>
      <c r="N21" s="8" t="str">
        <f>N9</f>
        <v>Earned</v>
      </c>
      <c r="O21" s="8" t="s">
        <v>27</v>
      </c>
      <c r="P21" s="8" t="s">
        <v>27</v>
      </c>
      <c r="Q21" s="8" t="s">
        <v>57</v>
      </c>
      <c r="R21" s="25" t="s">
        <v>58</v>
      </c>
      <c r="S21" s="8"/>
    </row>
    <row r="22" spans="2:19" ht="12.75">
      <c r="B22" s="8">
        <f t="shared" si="6"/>
        <v>1995</v>
      </c>
      <c r="C22" s="12">
        <f aca="true" t="shared" si="9" ref="C22:H26">IF(OR(C10=0,D10=""),"",D10/C10)</f>
        <v>1.3249089253187614</v>
      </c>
      <c r="D22" s="12">
        <f t="shared" si="9"/>
        <v>1.1261385117717821</v>
      </c>
      <c r="E22" s="12">
        <f t="shared" si="9"/>
        <v>1.065008393102396</v>
      </c>
      <c r="F22" s="12">
        <f t="shared" si="9"/>
        <v>1.0329560108898124</v>
      </c>
      <c r="G22" s="12">
        <f t="shared" si="9"/>
        <v>1.0149812734082397</v>
      </c>
      <c r="H22" s="12">
        <f t="shared" si="9"/>
        <v>1.002050020500205</v>
      </c>
      <c r="I22" s="12"/>
      <c r="M22" s="9" t="str">
        <f t="shared" si="8"/>
        <v>Year</v>
      </c>
      <c r="N22" s="9" t="str">
        <f>N10</f>
        <v>Premium</v>
      </c>
      <c r="O22" s="9" t="s">
        <v>55</v>
      </c>
      <c r="P22" s="9" t="s">
        <v>55</v>
      </c>
      <c r="Q22" s="9" t="s">
        <v>55</v>
      </c>
      <c r="R22" s="9" t="s">
        <v>55</v>
      </c>
      <c r="S22" s="9" t="s">
        <v>19</v>
      </c>
    </row>
    <row r="23" spans="2:19" ht="12.75">
      <c r="B23" s="8">
        <f t="shared" si="6"/>
        <v>1996</v>
      </c>
      <c r="C23" s="13">
        <f t="shared" si="9"/>
        <v>1.3509869063904631</v>
      </c>
      <c r="D23" s="13">
        <f t="shared" si="9"/>
        <v>1.1500072327498916</v>
      </c>
      <c r="E23" s="13">
        <f t="shared" si="9"/>
        <v>1.0669182389937106</v>
      </c>
      <c r="F23" s="13">
        <f t="shared" si="9"/>
        <v>1.0290025937278944</v>
      </c>
      <c r="G23" s="13">
        <f t="shared" si="9"/>
        <v>1.0120302474793768</v>
      </c>
      <c r="H23" s="13">
        <f t="shared" si="9"/>
      </c>
      <c r="I23" s="13"/>
      <c r="M23" s="8">
        <f t="shared" si="8"/>
        <v>1995</v>
      </c>
      <c r="N23" s="23">
        <v>10460</v>
      </c>
      <c r="O23" s="2">
        <f>E43</f>
        <v>7427.315999999999</v>
      </c>
      <c r="P23" s="2">
        <f>E95</f>
        <v>7425.804</v>
      </c>
      <c r="Q23" s="2">
        <f>G199</f>
        <v>7427.316</v>
      </c>
      <c r="S23" s="23">
        <v>7427</v>
      </c>
    </row>
    <row r="24" spans="2:30" ht="12.75">
      <c r="B24" s="8">
        <f t="shared" si="6"/>
        <v>1997</v>
      </c>
      <c r="C24" s="13">
        <f t="shared" si="9"/>
        <v>1.3370478313046459</v>
      </c>
      <c r="D24" s="13">
        <f t="shared" si="9"/>
        <v>1.138992178484421</v>
      </c>
      <c r="E24" s="13">
        <f t="shared" si="9"/>
        <v>1.0610154227175503</v>
      </c>
      <c r="F24" s="13">
        <f t="shared" si="9"/>
        <v>1.029920424403183</v>
      </c>
      <c r="G24" s="13">
        <f t="shared" si="9"/>
      </c>
      <c r="H24" s="13">
        <f t="shared" si="9"/>
      </c>
      <c r="I24" s="13"/>
      <c r="M24" s="8">
        <f t="shared" si="8"/>
        <v>1996</v>
      </c>
      <c r="N24" s="23">
        <v>13185</v>
      </c>
      <c r="O24" s="2">
        <f>E44</f>
        <v>8965.724658</v>
      </c>
      <c r="P24" s="2">
        <f>E96</f>
        <v>8930.374632</v>
      </c>
      <c r="Q24" s="2">
        <f>G200</f>
        <v>8965.724658</v>
      </c>
      <c r="S24" s="23">
        <v>8950</v>
      </c>
      <c r="AB24" s="8" t="s">
        <v>28</v>
      </c>
      <c r="AD24" s="8" t="s">
        <v>28</v>
      </c>
    </row>
    <row r="25" spans="2:30" ht="12.75">
      <c r="B25" s="8">
        <f t="shared" si="6"/>
        <v>1998</v>
      </c>
      <c r="C25" s="13">
        <f t="shared" si="9"/>
        <v>1.4079861111111112</v>
      </c>
      <c r="D25" s="13">
        <f t="shared" si="9"/>
        <v>1.1339909576654337</v>
      </c>
      <c r="E25" s="13">
        <f t="shared" si="9"/>
        <v>1.065059804276912</v>
      </c>
      <c r="F25" s="13">
        <f t="shared" si="9"/>
      </c>
      <c r="G25" s="13">
        <f t="shared" si="9"/>
      </c>
      <c r="H25" s="13">
        <f t="shared" si="9"/>
      </c>
      <c r="I25" s="13"/>
      <c r="M25" s="8">
        <f t="shared" si="8"/>
        <v>1997</v>
      </c>
      <c r="N25" s="23">
        <v>15603</v>
      </c>
      <c r="O25" s="24">
        <f>C45*D45</f>
        <v>9990.797385347998</v>
      </c>
      <c r="P25" s="2">
        <f>E97</f>
        <v>10002.66041988</v>
      </c>
      <c r="Q25" s="2">
        <f>G201</f>
        <v>9990.797385348</v>
      </c>
      <c r="S25" s="23">
        <v>10000</v>
      </c>
      <c r="Y25" s="8" t="s">
        <v>28</v>
      </c>
      <c r="Z25" s="8" t="s">
        <v>28</v>
      </c>
      <c r="AA25" s="8" t="s">
        <v>36</v>
      </c>
      <c r="AB25" s="8" t="s">
        <v>70</v>
      </c>
      <c r="AC25" s="8" t="s">
        <v>71</v>
      </c>
      <c r="AD25" s="8" t="s">
        <v>70</v>
      </c>
    </row>
    <row r="26" spans="2:30" ht="12.75">
      <c r="B26" s="8">
        <f t="shared" si="6"/>
        <v>1999</v>
      </c>
      <c r="C26" s="13">
        <f t="shared" si="9"/>
        <v>1.4330699088145897</v>
      </c>
      <c r="D26" s="13">
        <f t="shared" si="9"/>
        <v>1.1439721727326715</v>
      </c>
      <c r="E26" s="13">
        <f t="shared" si="9"/>
      </c>
      <c r="F26" s="13">
        <f t="shared" si="9"/>
      </c>
      <c r="G26" s="13">
        <f t="shared" si="9"/>
      </c>
      <c r="H26" s="13">
        <f t="shared" si="9"/>
      </c>
      <c r="I26" s="13"/>
      <c r="M26" s="8">
        <f t="shared" si="8"/>
        <v>1998</v>
      </c>
      <c r="N26" s="23">
        <v>17803</v>
      </c>
      <c r="O26" s="2">
        <f>E46</f>
        <v>12472.671193352135</v>
      </c>
      <c r="P26" s="2">
        <f>E98</f>
        <v>12543.82617494736</v>
      </c>
      <c r="Q26" s="2">
        <f>G202</f>
        <v>12461.553458311697</v>
      </c>
      <c r="S26" s="23">
        <v>12500</v>
      </c>
      <c r="X26" s="8" t="str">
        <f>X10</f>
        <v>Accident</v>
      </c>
      <c r="Y26" s="8" t="s">
        <v>29</v>
      </c>
      <c r="Z26" s="8" t="s">
        <v>29</v>
      </c>
      <c r="AA26" s="8" t="s">
        <v>136</v>
      </c>
      <c r="AB26" s="8" t="s">
        <v>136</v>
      </c>
      <c r="AC26" s="8" t="s">
        <v>138</v>
      </c>
      <c r="AD26" s="8" t="s">
        <v>138</v>
      </c>
    </row>
    <row r="27" spans="2:30" ht="12.75">
      <c r="B27" s="8">
        <f t="shared" si="6"/>
        <v>2000</v>
      </c>
      <c r="C27" s="63">
        <v>1.389</v>
      </c>
      <c r="D27" s="13">
        <f>IF(OR(D15=0,E15=""),"",E15/D15)</f>
      </c>
      <c r="E27" s="13">
        <f>IF(OR(E15=0,F15=""),"",F15/E15)</f>
      </c>
      <c r="F27" s="13">
        <f>IF(OR(F15=0,G15=""),"",G15/F15)</f>
      </c>
      <c r="G27" s="13">
        <f>IF(OR(G15=0,H15=""),"",H15/G15)</f>
      </c>
      <c r="H27" s="13">
        <f>IF(OR(H15=0,I15=""),"",I15/H15)</f>
      </c>
      <c r="I27" s="13"/>
      <c r="M27" s="8">
        <f t="shared" si="8"/>
        <v>1999</v>
      </c>
      <c r="N27" s="23">
        <v>20845</v>
      </c>
      <c r="O27" s="2">
        <f>E47</f>
        <v>15224.188724426955</v>
      </c>
      <c r="P27" s="2">
        <f>E99</f>
        <v>15606.079780625818</v>
      </c>
      <c r="Q27" s="2">
        <f>G203</f>
        <v>15218.338050536337</v>
      </c>
      <c r="S27" s="23">
        <v>15350</v>
      </c>
      <c r="X27" s="9" t="str">
        <f>X11</f>
        <v>Year</v>
      </c>
      <c r="Y27" s="9" t="s">
        <v>137</v>
      </c>
      <c r="Z27" s="9" t="s">
        <v>136</v>
      </c>
      <c r="AA27" s="56" t="str">
        <f>"at "&amp;TEXT(curreval,"m/d/yy")</f>
        <v>at 12/31/01</v>
      </c>
      <c r="AB27" s="56" t="str">
        <f>"at "&amp;TEXT(curreval,"m/d/yy")</f>
        <v>at 12/31/01</v>
      </c>
      <c r="AC27" s="56" t="s">
        <v>63</v>
      </c>
      <c r="AD27" s="56" t="str">
        <f>"at "&amp;TEXT(curreval,"m/d/yy")</f>
        <v>at 12/31/01</v>
      </c>
    </row>
    <row r="28" spans="2:30" ht="12.75">
      <c r="B28" s="8"/>
      <c r="M28" s="8">
        <f t="shared" si="8"/>
        <v>2000</v>
      </c>
      <c r="N28" s="23">
        <v>21212</v>
      </c>
      <c r="O28" s="2">
        <f>E48</f>
        <v>17189.88959091173</v>
      </c>
      <c r="P28" s="95" t="s">
        <v>156</v>
      </c>
      <c r="Q28" s="2">
        <f>E204*F204/1000</f>
        <v>17187.568001989865</v>
      </c>
      <c r="R28" s="24">
        <f>P11*Q11+S11</f>
        <v>17046.55152866881</v>
      </c>
      <c r="S28" s="23">
        <v>17000</v>
      </c>
      <c r="X28" s="8">
        <f aca="true" t="shared" si="10" ref="X28:X33">X29-1</f>
        <v>1995</v>
      </c>
      <c r="Y28" s="44">
        <f aca="true" t="shared" si="11" ref="Y28:Y33">E252</f>
        <v>0.148672</v>
      </c>
      <c r="Z28" s="2">
        <f aca="true" t="shared" si="12" ref="Z28:Z34">Y28*Y12</f>
        <v>1104.186944</v>
      </c>
      <c r="AA28" s="2">
        <f aca="true" t="shared" si="13" ref="AA28:AA34">C252*AA12</f>
        <v>1023.4816</v>
      </c>
      <c r="AB28" s="2">
        <f>Z28-AA28</f>
        <v>80.70534400000008</v>
      </c>
      <c r="AC28" s="32">
        <f>5.2%</f>
        <v>0.052000000000000005</v>
      </c>
      <c r="AD28" s="2">
        <f>((Z12-AA12)/2+AC12)*AC28</f>
        <v>14.794</v>
      </c>
    </row>
    <row r="29" spans="2:30" ht="12.75">
      <c r="B29" s="21" t="s">
        <v>15</v>
      </c>
      <c r="C29" s="14">
        <f aca="true" t="shared" si="14" ref="C29:H29">AVERAGE(C22:C27)</f>
        <v>1.3738332804899285</v>
      </c>
      <c r="D29" s="14">
        <f t="shared" si="14"/>
        <v>1.1386202106808399</v>
      </c>
      <c r="E29" s="14">
        <f t="shared" si="14"/>
        <v>1.0645004647726424</v>
      </c>
      <c r="F29" s="14">
        <f t="shared" si="14"/>
        <v>1.0306263430069633</v>
      </c>
      <c r="G29" s="14">
        <f t="shared" si="14"/>
        <v>1.0135057604438082</v>
      </c>
      <c r="H29" s="14">
        <f t="shared" si="14"/>
        <v>1.002050020500205</v>
      </c>
      <c r="M29" s="8">
        <f t="shared" si="8"/>
        <v>2001</v>
      </c>
      <c r="N29" s="23">
        <v>26383</v>
      </c>
      <c r="O29" s="2">
        <f>E49</f>
        <v>20852.40216328524</v>
      </c>
      <c r="P29" s="2">
        <f>E101</f>
        <v>21424.28013474929</v>
      </c>
      <c r="Q29" s="2">
        <f>G205</f>
        <v>20850.266131199125</v>
      </c>
      <c r="R29" s="2">
        <f>T12</f>
        <v>20729.66337339059</v>
      </c>
      <c r="S29" s="87" t="s">
        <v>155</v>
      </c>
      <c r="X29" s="8">
        <f t="shared" si="10"/>
        <v>1996</v>
      </c>
      <c r="Y29" s="44">
        <f t="shared" si="11"/>
        <v>0.148695634</v>
      </c>
      <c r="Z29" s="2">
        <f t="shared" si="12"/>
        <v>1330.8259243</v>
      </c>
      <c r="AA29" s="2">
        <f t="shared" si="13"/>
        <v>1202.0564</v>
      </c>
      <c r="AB29" s="2">
        <f aca="true" t="shared" si="15" ref="AB29:AB34">Z29-AA29</f>
        <v>128.76952430000006</v>
      </c>
      <c r="AC29" s="32">
        <f aca="true" t="shared" si="16" ref="AC29:AC34">5.2%</f>
        <v>0.052000000000000005</v>
      </c>
      <c r="AD29" s="2">
        <f>(AB13/2+AC13)*AC29</f>
        <v>21.970000000000002</v>
      </c>
    </row>
    <row r="30" spans="2:30" ht="12.75">
      <c r="B30" s="22" t="s">
        <v>16</v>
      </c>
      <c r="C30" s="14">
        <f>AVERAGE(C25:C27)</f>
        <v>1.4100186733085671</v>
      </c>
      <c r="D30" s="14">
        <f>AVERAGE(D24:D26)</f>
        <v>1.1389851029608422</v>
      </c>
      <c r="E30" s="14">
        <f>AVERAGE(E23:E25)</f>
        <v>1.064331155329391</v>
      </c>
      <c r="F30" s="14">
        <f>AVERAGE(F22:F24)</f>
        <v>1.0306263430069633</v>
      </c>
      <c r="N30" s="1"/>
      <c r="X30" s="8">
        <f t="shared" si="10"/>
        <v>1997</v>
      </c>
      <c r="Y30" s="44">
        <f t="shared" si="11"/>
        <v>0.15272811313599996</v>
      </c>
      <c r="Z30" s="2">
        <f t="shared" si="12"/>
        <v>1527.2811313599996</v>
      </c>
      <c r="AA30" s="2">
        <f t="shared" si="13"/>
        <v>1321.4797999999998</v>
      </c>
      <c r="AB30" s="2">
        <f t="shared" si="15"/>
        <v>205.80133135999972</v>
      </c>
      <c r="AC30" s="32">
        <f t="shared" si="16"/>
        <v>0.052000000000000005</v>
      </c>
      <c r="AD30" s="2">
        <f>(AB14/2+AC14)*AC30</f>
        <v>35.152</v>
      </c>
    </row>
    <row r="31" spans="2:30" ht="12.75">
      <c r="B31" s="22" t="s">
        <v>17</v>
      </c>
      <c r="C31" s="14">
        <f>(SUM(C22:C27)-MIN(C22:C27)-MAX(C22:C27))/(COUNT(C22:C27)-2)</f>
        <v>1.371255212201555</v>
      </c>
      <c r="D31" s="14">
        <f>(SUM(D22:D27)-MIN(D22:D27)-MAX(D22:D27))/(COUNT(D22:D27)-2)</f>
        <v>1.1389851029608418</v>
      </c>
      <c r="E31" s="14">
        <f>(SUM(E22:E27)-MIN(E22:E27)-MAX(E22:E27))/(COUNT(E22:E27)-2)</f>
        <v>1.0650340986896545</v>
      </c>
      <c r="F31" s="14">
        <f>(SUM(F22:F27)-MIN(F22:F27)-MAX(F22:F27))/(COUNT(F22:F27)-2)</f>
        <v>1.0299204244031832</v>
      </c>
      <c r="M31" s="8" t="s">
        <v>30</v>
      </c>
      <c r="N31" s="1">
        <f>SUM(N23:N30)</f>
        <v>125491</v>
      </c>
      <c r="O31" s="1">
        <f>SUM(O23:O30)</f>
        <v>92122.98971532406</v>
      </c>
      <c r="P31" s="23">
        <f>E103</f>
        <v>92251.64646244583</v>
      </c>
      <c r="Q31" s="1">
        <f>SUM(Q23:Q30)</f>
        <v>92101.56368538503</v>
      </c>
      <c r="S31" s="23">
        <f>SUM(S23:S28)+20900</f>
        <v>92127</v>
      </c>
      <c r="X31" s="8">
        <f t="shared" si="10"/>
        <v>1998</v>
      </c>
      <c r="Y31" s="44">
        <f t="shared" si="11"/>
        <v>0.15326286820059995</v>
      </c>
      <c r="Z31" s="2">
        <f t="shared" si="12"/>
        <v>1915.7858525074994</v>
      </c>
      <c r="AA31" s="2">
        <f t="shared" si="13"/>
        <v>1539.3186</v>
      </c>
      <c r="AB31" s="2">
        <f t="shared" si="15"/>
        <v>376.4672525074993</v>
      </c>
      <c r="AC31" s="32">
        <f t="shared" si="16"/>
        <v>0.052000000000000005</v>
      </c>
      <c r="AD31" s="2">
        <f>(AB15/2+AC15)*AC31</f>
        <v>67.808</v>
      </c>
    </row>
    <row r="32" spans="2:30" ht="12.75">
      <c r="B32" s="22" t="s">
        <v>18</v>
      </c>
      <c r="C32" s="55">
        <v>1.398</v>
      </c>
      <c r="D32" s="55">
        <v>1.141</v>
      </c>
      <c r="E32" s="55">
        <v>1.063</v>
      </c>
      <c r="F32" s="55">
        <v>1.032</v>
      </c>
      <c r="G32" s="55">
        <v>1.016</v>
      </c>
      <c r="H32" s="55">
        <v>1.001</v>
      </c>
      <c r="I32" s="55">
        <v>1.013</v>
      </c>
      <c r="X32" s="8">
        <f t="shared" si="10"/>
        <v>1999</v>
      </c>
      <c r="Y32" s="44">
        <f t="shared" si="11"/>
        <v>0.15829183916270398</v>
      </c>
      <c r="Z32" s="2">
        <f t="shared" si="12"/>
        <v>2429.779731147506</v>
      </c>
      <c r="AA32" s="2">
        <f t="shared" si="13"/>
        <v>1565.3241</v>
      </c>
      <c r="AB32" s="2">
        <f t="shared" si="15"/>
        <v>864.455631147506</v>
      </c>
      <c r="AC32" s="32">
        <f t="shared" si="16"/>
        <v>0.052000000000000005</v>
      </c>
      <c r="AD32" s="2">
        <f>(AB16/2+AC16)*AC32</f>
        <v>164.39800000000002</v>
      </c>
    </row>
    <row r="33" spans="2:30" ht="12.75">
      <c r="B33" s="4"/>
      <c r="X33" s="8">
        <f t="shared" si="10"/>
        <v>2000</v>
      </c>
      <c r="Y33" s="44">
        <f t="shared" si="11"/>
        <v>0.1608430145245747</v>
      </c>
      <c r="Z33" s="2">
        <f t="shared" si="12"/>
        <v>2734.33124691777</v>
      </c>
      <c r="AA33" s="2">
        <f t="shared" si="13"/>
        <v>1142.2079999999999</v>
      </c>
      <c r="AB33" s="2">
        <f t="shared" si="15"/>
        <v>1592.12324691777</v>
      </c>
      <c r="AC33" s="32">
        <f t="shared" si="16"/>
        <v>0.052000000000000005</v>
      </c>
      <c r="AD33" s="99" t="s">
        <v>161</v>
      </c>
    </row>
    <row r="34" spans="2:30" ht="12.75">
      <c r="B34" s="22" t="s">
        <v>19</v>
      </c>
      <c r="C34" s="55">
        <v>1.41</v>
      </c>
      <c r="D34" s="55">
        <v>1.139</v>
      </c>
      <c r="E34" s="55">
        <v>1.064</v>
      </c>
      <c r="F34" s="55">
        <v>1.031</v>
      </c>
      <c r="G34" s="55">
        <v>1.014</v>
      </c>
      <c r="H34" s="55">
        <v>1.002</v>
      </c>
      <c r="I34" s="55">
        <v>1.013</v>
      </c>
      <c r="X34" s="57">
        <f>B16</f>
        <v>2001</v>
      </c>
      <c r="Y34" s="44">
        <f>C258*D258</f>
        <v>0.1668522882616734</v>
      </c>
      <c r="Z34" s="2">
        <f t="shared" si="12"/>
        <v>3487.212824668974</v>
      </c>
      <c r="AA34" s="2">
        <f t="shared" si="13"/>
        <v>841.225</v>
      </c>
      <c r="AB34" s="2">
        <f t="shared" si="15"/>
        <v>2645.987824668974</v>
      </c>
      <c r="AC34" s="32">
        <f t="shared" si="16"/>
        <v>0.052000000000000005</v>
      </c>
      <c r="AD34" s="2">
        <f>(AB18/2+AC18)*AC34</f>
        <v>674.1800000000001</v>
      </c>
    </row>
    <row r="35" spans="2:13" ht="12.75">
      <c r="B35" s="22" t="s">
        <v>20</v>
      </c>
      <c r="C35" s="16">
        <f>PRODUCT(C34:$I34)</f>
        <v>1.8132523620248033</v>
      </c>
      <c r="D35" s="16">
        <f>PRODUCT(D34:$I34)</f>
        <v>1.2859945829963142</v>
      </c>
      <c r="E35" s="16">
        <f>PRODUCT(E34:$I34)</f>
        <v>1.1290558235261758</v>
      </c>
      <c r="F35" s="86" t="s">
        <v>140</v>
      </c>
      <c r="G35" s="16">
        <f>PRODUCT(G34:$I34)</f>
        <v>1.0292363639999997</v>
      </c>
      <c r="H35" s="16">
        <f>PRODUCT(H34:$I34)</f>
        <v>1.015026</v>
      </c>
      <c r="I35" s="16">
        <f>PRODUCT(I34:$I34)</f>
        <v>1.013</v>
      </c>
      <c r="M35" s="4"/>
    </row>
    <row r="36" spans="24:31" ht="12.75">
      <c r="X36" s="8" t="s">
        <v>30</v>
      </c>
      <c r="Z36" s="2">
        <f>SUM(Z28:Z34)</f>
        <v>14529.40365490175</v>
      </c>
      <c r="AA36" s="2">
        <f>SUM(AA28:AA34)</f>
        <v>8635.093499999999</v>
      </c>
      <c r="AB36" s="2">
        <f>SUM(AB28:AB34)</f>
        <v>5894.310154901749</v>
      </c>
      <c r="AD36" s="2">
        <f>(AB20/2+AC20)*AC34</f>
        <v>1308.528</v>
      </c>
      <c r="AE36" s="2"/>
    </row>
    <row r="37" spans="15:18" ht="12.75">
      <c r="O37" s="28" t="s">
        <v>62</v>
      </c>
      <c r="P37" s="28"/>
      <c r="Q37" s="28"/>
      <c r="R37" s="28"/>
    </row>
    <row r="38" spans="3:19" ht="12.75">
      <c r="C38" s="22" t="s">
        <v>21</v>
      </c>
      <c r="N38" s="8"/>
      <c r="O38" s="8"/>
      <c r="P38" s="8"/>
      <c r="Q38" s="8" t="s">
        <v>37</v>
      </c>
      <c r="R38" s="8"/>
      <c r="S38" s="8"/>
    </row>
    <row r="39" spans="14:19" ht="12.75">
      <c r="N39" s="8"/>
      <c r="O39" s="8" t="s">
        <v>24</v>
      </c>
      <c r="P39" s="8" t="s">
        <v>36</v>
      </c>
      <c r="Q39" s="8" t="s">
        <v>56</v>
      </c>
      <c r="R39" s="8"/>
      <c r="S39" s="8"/>
    </row>
    <row r="40" spans="3:19" ht="12.75">
      <c r="C40" s="57" t="s">
        <v>24</v>
      </c>
      <c r="D40" s="22"/>
      <c r="E40" s="57" t="s">
        <v>28</v>
      </c>
      <c r="M40" s="8" t="str">
        <f aca="true" t="shared" si="17" ref="M40:M48">M21</f>
        <v>Accident</v>
      </c>
      <c r="N40" s="8"/>
      <c r="O40" s="8" t="s">
        <v>27</v>
      </c>
      <c r="P40" s="8" t="s">
        <v>27</v>
      </c>
      <c r="Q40" s="8" t="s">
        <v>57</v>
      </c>
      <c r="R40" s="25"/>
      <c r="S40" s="8"/>
    </row>
    <row r="41" spans="2:30" ht="12.75">
      <c r="B41" s="8" t="str">
        <f>B20</f>
        <v>Accident</v>
      </c>
      <c r="C41" s="57" t="s">
        <v>25</v>
      </c>
      <c r="D41" s="57" t="s">
        <v>26</v>
      </c>
      <c r="E41" s="57" t="s">
        <v>29</v>
      </c>
      <c r="M41" s="9" t="str">
        <f t="shared" si="17"/>
        <v>Year</v>
      </c>
      <c r="N41" s="9"/>
      <c r="O41" s="9" t="s">
        <v>55</v>
      </c>
      <c r="P41" s="9" t="s">
        <v>55</v>
      </c>
      <c r="Q41" s="9" t="s">
        <v>55</v>
      </c>
      <c r="R41" s="9"/>
      <c r="S41" s="9" t="s">
        <v>19</v>
      </c>
      <c r="X41" s="5" t="s">
        <v>72</v>
      </c>
      <c r="Y41" s="5"/>
      <c r="Z41" s="5"/>
      <c r="AA41" s="5"/>
      <c r="AB41" s="5"/>
      <c r="AC41" s="5"/>
      <c r="AD41" s="5"/>
    </row>
    <row r="42" spans="2:30" ht="12.75">
      <c r="B42" s="9" t="str">
        <f>B21</f>
        <v>Year</v>
      </c>
      <c r="C42" s="56" t="str">
        <f>"at "&amp;TEXT(curreval,"m/d/yy")</f>
        <v>at 12/31/01</v>
      </c>
      <c r="D42" s="56" t="s">
        <v>27</v>
      </c>
      <c r="E42" s="56" t="s">
        <v>25</v>
      </c>
      <c r="M42" s="8">
        <f t="shared" si="17"/>
        <v>1995</v>
      </c>
      <c r="N42" s="10"/>
      <c r="O42" s="33">
        <f aca="true" t="shared" si="18" ref="O42:Q46">O23/$N23</f>
        <v>0.7100684512428297</v>
      </c>
      <c r="P42" s="33">
        <f t="shared" si="18"/>
        <v>0.7099239005736138</v>
      </c>
      <c r="Q42" s="33">
        <f t="shared" si="18"/>
        <v>0.7100684512428298</v>
      </c>
      <c r="S42" s="33">
        <f>S23/$N23</f>
        <v>0.710038240917782</v>
      </c>
      <c r="X42" s="45" t="str">
        <f>"Estimated as of  "&amp;TEXT(curreval,"m/d/yy")</f>
        <v>Estimated as of  12/31/01</v>
      </c>
      <c r="Y42" s="43"/>
      <c r="Z42" s="43"/>
      <c r="AA42" s="43"/>
      <c r="AB42" s="43"/>
      <c r="AC42" s="43"/>
      <c r="AD42" s="46">
        <f>AD20+AB36+AD36</f>
        <v>41380.83815490175</v>
      </c>
    </row>
    <row r="43" spans="2:30" ht="12.75">
      <c r="B43" s="8">
        <f aca="true" t="shared" si="19" ref="B43:B49">B10</f>
        <v>1995</v>
      </c>
      <c r="C43" s="1">
        <f aca="true" ca="1" t="shared" si="20" ref="C43:C49">OFFSET(C$16,-A46,A46)</f>
        <v>7332</v>
      </c>
      <c r="D43" s="16">
        <f ca="1">OFFSET(C$35,0,A46)</f>
        <v>1.013</v>
      </c>
      <c r="E43" s="1">
        <f>D43*C43</f>
        <v>7427.315999999999</v>
      </c>
      <c r="M43" s="8">
        <f t="shared" si="17"/>
        <v>1996</v>
      </c>
      <c r="N43" s="10"/>
      <c r="O43" s="33">
        <f t="shared" si="18"/>
        <v>0.6799942857792945</v>
      </c>
      <c r="P43" s="33">
        <f t="shared" si="18"/>
        <v>0.6773132068259385</v>
      </c>
      <c r="Q43" s="33">
        <f t="shared" si="18"/>
        <v>0.6799942857792945</v>
      </c>
      <c r="S43" s="33">
        <f>S24/$N24</f>
        <v>0.6788016685627607</v>
      </c>
      <c r="X43" s="45" t="str">
        <f>"Recorded as of  "&amp;TEXT(curreval,"m/d/yy")</f>
        <v>Recorded as of  12/31/01</v>
      </c>
      <c r="AD43" s="1">
        <v>40905</v>
      </c>
    </row>
    <row r="44" spans="2:19" ht="12.75">
      <c r="B44" s="8">
        <f t="shared" si="19"/>
        <v>1996</v>
      </c>
      <c r="C44" s="1">
        <f ca="1" t="shared" si="20"/>
        <v>8833</v>
      </c>
      <c r="D44" s="16">
        <f ca="1">OFFSET(C$35,0,A47)</f>
        <v>1.015026</v>
      </c>
      <c r="E44" s="1">
        <f aca="true" t="shared" si="21" ref="E44:E49">D44*C44</f>
        <v>8965.724658</v>
      </c>
      <c r="M44" s="8">
        <f t="shared" si="17"/>
        <v>1997</v>
      </c>
      <c r="N44" s="10"/>
      <c r="O44" s="33">
        <f t="shared" si="18"/>
        <v>0.6403125927929243</v>
      </c>
      <c r="P44" s="33">
        <f t="shared" si="18"/>
        <v>0.6410728975120169</v>
      </c>
      <c r="Q44" s="33">
        <f t="shared" si="18"/>
        <v>0.6403125927929244</v>
      </c>
      <c r="S44" s="33">
        <f>S25/$N25</f>
        <v>0.6409023905659168</v>
      </c>
    </row>
    <row r="45" spans="2:30" ht="12.75">
      <c r="B45" s="8">
        <f t="shared" si="19"/>
        <v>1997</v>
      </c>
      <c r="C45" s="1">
        <f ca="1" t="shared" si="20"/>
        <v>9707</v>
      </c>
      <c r="D45" s="16">
        <f ca="1">OFFSET(C$35,0,A48)</f>
        <v>1.0292363639999997</v>
      </c>
      <c r="E45" s="86" t="s">
        <v>142</v>
      </c>
      <c r="M45" s="8">
        <f t="shared" si="17"/>
        <v>1998</v>
      </c>
      <c r="N45" s="10"/>
      <c r="O45" s="33">
        <f t="shared" si="18"/>
        <v>0.700593787190481</v>
      </c>
      <c r="P45" s="33">
        <f t="shared" si="18"/>
        <v>0.7045905844491018</v>
      </c>
      <c r="Q45" s="33">
        <f t="shared" si="18"/>
        <v>0.6999693005848282</v>
      </c>
      <c r="S45" s="33">
        <f>S26/$N26</f>
        <v>0.7021288546874123</v>
      </c>
      <c r="X45" s="5" t="s">
        <v>73</v>
      </c>
      <c r="Y45" s="5"/>
      <c r="Z45" s="5"/>
      <c r="AA45" s="5"/>
      <c r="AB45" s="5"/>
      <c r="AC45" s="5"/>
      <c r="AD45" s="100" t="s">
        <v>162</v>
      </c>
    </row>
    <row r="46" spans="1:19" ht="12.75">
      <c r="A46" s="29">
        <f aca="true" t="shared" si="22" ref="A46:A51">A47+1</f>
        <v>6</v>
      </c>
      <c r="B46" s="8">
        <f t="shared" si="19"/>
        <v>1998</v>
      </c>
      <c r="C46" s="1">
        <f ca="1" t="shared" si="20"/>
        <v>11754</v>
      </c>
      <c r="D46" s="55">
        <f>PRODUCT(F34:I34)</f>
        <v>1.0611426912839999</v>
      </c>
      <c r="E46" s="1">
        <f t="shared" si="21"/>
        <v>12472.671193352135</v>
      </c>
      <c r="M46" s="8">
        <f t="shared" si="17"/>
        <v>1999</v>
      </c>
      <c r="N46" s="10"/>
      <c r="O46" s="33">
        <f t="shared" si="18"/>
        <v>0.7303520616179877</v>
      </c>
      <c r="P46" s="33">
        <f t="shared" si="18"/>
        <v>0.7486725728292549</v>
      </c>
      <c r="Q46" s="33">
        <f t="shared" si="18"/>
        <v>0.7300713864493326</v>
      </c>
      <c r="S46" s="97" t="s">
        <v>157</v>
      </c>
    </row>
    <row r="47" spans="1:19" ht="12.75">
      <c r="A47" s="29">
        <f t="shared" si="22"/>
        <v>5</v>
      </c>
      <c r="B47" s="8">
        <f t="shared" si="19"/>
        <v>1999</v>
      </c>
      <c r="C47" s="1">
        <f ca="1" t="shared" si="20"/>
        <v>13484</v>
      </c>
      <c r="D47" s="16">
        <f ca="1">OFFSET(C$35,0,A50)</f>
        <v>1.1290558235261758</v>
      </c>
      <c r="E47" s="1">
        <f t="shared" si="21"/>
        <v>15224.188724426955</v>
      </c>
      <c r="M47" s="8">
        <f t="shared" si="17"/>
        <v>2000</v>
      </c>
      <c r="N47" s="10"/>
      <c r="O47" s="33">
        <f>O28/$N28</f>
        <v>0.8103851400580676</v>
      </c>
      <c r="P47" s="34">
        <f>16314/$N28</f>
        <v>0.7690929662455214</v>
      </c>
      <c r="Q47" s="33">
        <f>Q28/$N28</f>
        <v>0.8102756930977685</v>
      </c>
      <c r="R47" s="26"/>
      <c r="S47" s="33">
        <f>S28/$N28</f>
        <v>0.8014331510465774</v>
      </c>
    </row>
    <row r="48" spans="1:19" ht="12.75">
      <c r="A48" s="29">
        <f t="shared" si="22"/>
        <v>4</v>
      </c>
      <c r="B48" s="8">
        <f t="shared" si="19"/>
        <v>2000</v>
      </c>
      <c r="C48" s="1">
        <f ca="1" t="shared" si="20"/>
        <v>13367</v>
      </c>
      <c r="D48" s="16">
        <f ca="1">OFFSET(C$35,0,A51)</f>
        <v>1.2859945829963142</v>
      </c>
      <c r="E48" s="1">
        <f t="shared" si="21"/>
        <v>17189.88959091173</v>
      </c>
      <c r="M48" s="8">
        <f t="shared" si="17"/>
        <v>2001</v>
      </c>
      <c r="N48" s="10"/>
      <c r="O48" s="33">
        <f>O29/$N29</f>
        <v>0.7903726704046257</v>
      </c>
      <c r="P48" s="33">
        <f>P29/$N29</f>
        <v>0.812048672810116</v>
      </c>
      <c r="Q48" s="33">
        <f>Q29/$N29</f>
        <v>0.7902917079634282</v>
      </c>
      <c r="R48" s="2"/>
      <c r="S48" s="34">
        <f>20900/$N29</f>
        <v>0.7921767805025963</v>
      </c>
    </row>
    <row r="49" spans="1:14" ht="12.75">
      <c r="A49" s="29">
        <f t="shared" si="22"/>
        <v>3</v>
      </c>
      <c r="B49" s="8">
        <f t="shared" si="19"/>
        <v>2001</v>
      </c>
      <c r="C49" s="1">
        <f ca="1" t="shared" si="20"/>
        <v>11500</v>
      </c>
      <c r="D49" s="16">
        <f ca="1">OFFSET(C$35,0,A52)</f>
        <v>1.8132523620248033</v>
      </c>
      <c r="E49" s="1">
        <f t="shared" si="21"/>
        <v>20852.40216328524</v>
      </c>
      <c r="N49" s="1"/>
    </row>
    <row r="50" spans="1:19" ht="12.75">
      <c r="A50" s="29">
        <f t="shared" si="22"/>
        <v>2</v>
      </c>
      <c r="M50" s="8" t="s">
        <v>30</v>
      </c>
      <c r="N50" s="1"/>
      <c r="O50" s="33">
        <f>O31/$N31</f>
        <v>0.734100371463484</v>
      </c>
      <c r="P50" s="33">
        <f>P31/$N31</f>
        <v>0.7351255983492508</v>
      </c>
      <c r="Q50" s="33">
        <f>Q31/$N31</f>
        <v>0.7339296338811949</v>
      </c>
      <c r="S50" s="33">
        <f>S31/$N31</f>
        <v>0.7341323282147724</v>
      </c>
    </row>
    <row r="51" spans="1:5" ht="12.75">
      <c r="A51" s="29">
        <f t="shared" si="22"/>
        <v>1</v>
      </c>
      <c r="B51" s="18" t="s">
        <v>30</v>
      </c>
      <c r="C51" s="2">
        <f>SUM(C43:C50)</f>
        <v>75977</v>
      </c>
      <c r="E51" s="2">
        <f>SUMPRODUCT(C43:C49,D43:D49)</f>
        <v>92122.98971532406</v>
      </c>
    </row>
    <row r="52" ht="12.75">
      <c r="A52" s="31">
        <v>0</v>
      </c>
    </row>
    <row r="55" ht="12.75">
      <c r="M55" t="str">
        <f>title1</f>
        <v>Monstertruck Mutual</v>
      </c>
    </row>
    <row r="56" spans="2:13" ht="12.75">
      <c r="B56" t="str">
        <f>title1</f>
        <v>Monstertruck Mutual</v>
      </c>
      <c r="M56" t="str">
        <f>line</f>
        <v>Commercial Automobile Liability</v>
      </c>
    </row>
    <row r="57" ht="12.75">
      <c r="B57" t="str">
        <f>line</f>
        <v>Commercial Automobile Liability</v>
      </c>
    </row>
    <row r="58" ht="12.75">
      <c r="M58" s="22" t="s">
        <v>139</v>
      </c>
    </row>
    <row r="59" spans="3:16" ht="12.75">
      <c r="C59" s="22" t="s">
        <v>32</v>
      </c>
      <c r="M59" s="43"/>
      <c r="N59" s="43"/>
      <c r="O59" s="43"/>
      <c r="P59" s="43"/>
    </row>
    <row r="60" spans="2:16" ht="12.75">
      <c r="B60" s="57" t="s">
        <v>0</v>
      </c>
      <c r="C60" s="22"/>
      <c r="M60" s="43"/>
      <c r="N60" s="25" t="s">
        <v>36</v>
      </c>
      <c r="O60" s="25" t="s">
        <v>36</v>
      </c>
      <c r="P60" s="43"/>
    </row>
    <row r="61" spans="2:16" ht="12.75">
      <c r="B61" s="56" t="s">
        <v>1</v>
      </c>
      <c r="C61" s="56">
        <v>12</v>
      </c>
      <c r="D61" s="9">
        <f aca="true" t="shared" si="23" ref="D61:I61">C61+12</f>
        <v>24</v>
      </c>
      <c r="E61" s="9">
        <f t="shared" si="23"/>
        <v>36</v>
      </c>
      <c r="F61" s="9">
        <f t="shared" si="23"/>
        <v>48</v>
      </c>
      <c r="G61" s="9">
        <f t="shared" si="23"/>
        <v>60</v>
      </c>
      <c r="H61" s="9">
        <f t="shared" si="23"/>
        <v>72</v>
      </c>
      <c r="I61" s="9">
        <f t="shared" si="23"/>
        <v>84</v>
      </c>
      <c r="M61" s="8" t="s">
        <v>64</v>
      </c>
      <c r="N61" s="8" t="s">
        <v>138</v>
      </c>
      <c r="O61" s="8" t="s">
        <v>65</v>
      </c>
      <c r="P61" s="8" t="s">
        <v>138</v>
      </c>
    </row>
    <row r="62" spans="2:16" ht="12.75">
      <c r="B62" s="8">
        <f aca="true" t="shared" si="24" ref="B62:B67">B63-1</f>
        <v>1995</v>
      </c>
      <c r="C62" s="23">
        <v>1713</v>
      </c>
      <c r="D62" s="23">
        <v>3758</v>
      </c>
      <c r="E62" s="23">
        <v>5239</v>
      </c>
      <c r="F62" s="23">
        <v>6328</v>
      </c>
      <c r="G62" s="23">
        <v>6657</v>
      </c>
      <c r="H62" s="23">
        <v>6837</v>
      </c>
      <c r="I62" s="23">
        <v>6953</v>
      </c>
      <c r="M62" s="9" t="str">
        <f>M10</f>
        <v>Year</v>
      </c>
      <c r="N62" s="41" t="s">
        <v>47</v>
      </c>
      <c r="O62" s="41" t="s">
        <v>47</v>
      </c>
      <c r="P62" s="9" t="s">
        <v>63</v>
      </c>
    </row>
    <row r="63" spans="2:16" ht="12.75">
      <c r="B63" s="8">
        <f t="shared" si="24"/>
        <v>1996</v>
      </c>
      <c r="C63" s="23">
        <v>2042</v>
      </c>
      <c r="D63" s="23">
        <v>4387</v>
      </c>
      <c r="E63" s="23">
        <v>6256</v>
      </c>
      <c r="F63" s="23">
        <v>7551</v>
      </c>
      <c r="G63" s="23">
        <v>7959</v>
      </c>
      <c r="H63" s="23">
        <v>8222</v>
      </c>
      <c r="I63" s="23"/>
      <c r="M63" s="8">
        <f>M64-1</f>
        <v>1999</v>
      </c>
      <c r="N63" s="52">
        <v>537</v>
      </c>
      <c r="O63" s="52">
        <v>10131</v>
      </c>
      <c r="P63" s="102">
        <f>N63/O63</f>
        <v>0.053005626295528574</v>
      </c>
    </row>
    <row r="64" spans="2:16" ht="12.75">
      <c r="B64" s="8">
        <f t="shared" si="24"/>
        <v>1997</v>
      </c>
      <c r="C64" s="23">
        <v>2223</v>
      </c>
      <c r="D64" s="23">
        <v>4933</v>
      </c>
      <c r="E64" s="23">
        <v>6940</v>
      </c>
      <c r="F64" s="23">
        <v>8467</v>
      </c>
      <c r="G64" s="23">
        <v>8941</v>
      </c>
      <c r="H64" s="23"/>
      <c r="I64" s="23"/>
      <c r="M64" s="8">
        <f>M65-1</f>
        <v>2000</v>
      </c>
      <c r="N64" s="52">
        <v>643</v>
      </c>
      <c r="O64" s="52">
        <v>12616</v>
      </c>
      <c r="P64" s="102">
        <f>N64/O64</f>
        <v>0.05096702599873177</v>
      </c>
    </row>
    <row r="65" spans="2:16" ht="12.75">
      <c r="B65" s="8">
        <f t="shared" si="24"/>
        <v>1998</v>
      </c>
      <c r="C65" s="23">
        <v>2589</v>
      </c>
      <c r="D65" s="23">
        <v>6044</v>
      </c>
      <c r="E65" s="94" t="s">
        <v>143</v>
      </c>
      <c r="F65" s="23">
        <v>10638</v>
      </c>
      <c r="G65" s="23"/>
      <c r="H65" s="23"/>
      <c r="I65" s="23"/>
      <c r="M65" s="57">
        <f>B16</f>
        <v>2001</v>
      </c>
      <c r="N65" s="52">
        <v>785</v>
      </c>
      <c r="O65" s="52">
        <v>15098</v>
      </c>
      <c r="P65" s="98" t="s">
        <v>158</v>
      </c>
    </row>
    <row r="66" spans="2:16" ht="12.75">
      <c r="B66" s="8">
        <f t="shared" si="24"/>
        <v>1999</v>
      </c>
      <c r="C66" s="23">
        <v>3043</v>
      </c>
      <c r="D66" s="23">
        <v>7487</v>
      </c>
      <c r="E66" s="23">
        <v>10893</v>
      </c>
      <c r="F66" s="23"/>
      <c r="G66" s="23"/>
      <c r="H66" s="23"/>
      <c r="I66" s="23"/>
      <c r="N66" s="103"/>
      <c r="O66" s="103"/>
      <c r="P66" s="97"/>
    </row>
    <row r="67" spans="2:16" ht="12.75">
      <c r="B67" s="8">
        <f t="shared" si="24"/>
        <v>2000</v>
      </c>
      <c r="C67" s="23">
        <v>3368</v>
      </c>
      <c r="D67" s="23">
        <v>7932</v>
      </c>
      <c r="E67" s="23"/>
      <c r="F67" s="23"/>
      <c r="G67" s="23"/>
      <c r="H67" s="23"/>
      <c r="I67" s="23"/>
      <c r="M67" s="25" t="s">
        <v>30</v>
      </c>
      <c r="N67" s="104">
        <f>SUM(N63:N65)</f>
        <v>1965</v>
      </c>
      <c r="O67" s="104">
        <f>SUM(O63:O65)</f>
        <v>37845</v>
      </c>
      <c r="P67" s="105">
        <f>N67/O67</f>
        <v>0.05192231470471661</v>
      </c>
    </row>
    <row r="68" spans="2:9" ht="12.75">
      <c r="B68" s="57">
        <f>B16</f>
        <v>2001</v>
      </c>
      <c r="C68" s="23">
        <v>4370</v>
      </c>
      <c r="D68" s="23"/>
      <c r="E68" s="23"/>
      <c r="F68" s="23"/>
      <c r="G68" s="23"/>
      <c r="H68" s="23"/>
      <c r="I68" s="23"/>
    </row>
    <row r="71" ht="12.75">
      <c r="C71" s="22" t="s">
        <v>33</v>
      </c>
    </row>
    <row r="72" ht="12.75">
      <c r="B72" s="8" t="str">
        <f aca="true" t="shared" si="25" ref="B72:B79">B60</f>
        <v>Accident</v>
      </c>
    </row>
    <row r="73" spans="2:9" ht="12.75">
      <c r="B73" s="9" t="str">
        <f t="shared" si="25"/>
        <v>Year</v>
      </c>
      <c r="C73" s="9" t="str">
        <f aca="true" t="shared" si="26" ref="C73:H73">C61&amp;" - "&amp;D61</f>
        <v>12 - 24</v>
      </c>
      <c r="D73" s="9" t="str">
        <f t="shared" si="26"/>
        <v>24 - 36</v>
      </c>
      <c r="E73" s="9" t="str">
        <f t="shared" si="26"/>
        <v>36 - 48</v>
      </c>
      <c r="F73" s="9" t="str">
        <f t="shared" si="26"/>
        <v>48 - 60</v>
      </c>
      <c r="G73" s="9" t="str">
        <f t="shared" si="26"/>
        <v>60 - 72</v>
      </c>
      <c r="H73" s="9" t="str">
        <f t="shared" si="26"/>
        <v>72 - 84</v>
      </c>
      <c r="I73" s="9" t="str">
        <f>I61&amp;" - ULT"</f>
        <v>84 - ULT</v>
      </c>
    </row>
    <row r="74" spans="2:9" ht="12.75">
      <c r="B74" s="8">
        <f t="shared" si="25"/>
        <v>1995</v>
      </c>
      <c r="C74" s="12">
        <f aca="true" t="shared" si="27" ref="C74:H76">IF(OR(C62=0,D62=""),"",D62/C62)</f>
        <v>2.193812025685931</v>
      </c>
      <c r="D74" s="12">
        <f t="shared" si="27"/>
        <v>1.3940926024481106</v>
      </c>
      <c r="E74" s="12">
        <f t="shared" si="27"/>
        <v>1.2078640962015652</v>
      </c>
      <c r="F74" s="12">
        <f t="shared" si="27"/>
        <v>1.051991150442478</v>
      </c>
      <c r="G74" s="12">
        <f t="shared" si="27"/>
        <v>1.0270392068499323</v>
      </c>
      <c r="H74" s="12">
        <f t="shared" si="27"/>
        <v>1.0169665057773878</v>
      </c>
      <c r="I74" s="12"/>
    </row>
    <row r="75" spans="2:9" ht="12.75">
      <c r="B75" s="8">
        <f t="shared" si="25"/>
        <v>1996</v>
      </c>
      <c r="C75" s="13">
        <f t="shared" si="27"/>
        <v>2.1483839373163565</v>
      </c>
      <c r="D75" s="13">
        <f t="shared" si="27"/>
        <v>1.426031456576248</v>
      </c>
      <c r="E75" s="13">
        <f t="shared" si="27"/>
        <v>1.2070012787723785</v>
      </c>
      <c r="F75" s="13">
        <f t="shared" si="27"/>
        <v>1.0540325784664284</v>
      </c>
      <c r="G75" s="13">
        <f t="shared" si="27"/>
        <v>1.0330443523055661</v>
      </c>
      <c r="H75" s="13">
        <f t="shared" si="27"/>
      </c>
      <c r="I75" s="13"/>
    </row>
    <row r="76" spans="2:9" ht="12.75">
      <c r="B76" s="8">
        <f t="shared" si="25"/>
        <v>1997</v>
      </c>
      <c r="C76" s="13">
        <f t="shared" si="27"/>
        <v>2.2190733243364824</v>
      </c>
      <c r="D76" s="13">
        <f t="shared" si="27"/>
        <v>1.4068518143117779</v>
      </c>
      <c r="E76" s="13">
        <f t="shared" si="27"/>
        <v>1.220028818443804</v>
      </c>
      <c r="F76" s="13">
        <f t="shared" si="27"/>
        <v>1.0559820479508681</v>
      </c>
      <c r="G76" s="13">
        <f t="shared" si="27"/>
      </c>
      <c r="H76" s="13">
        <f t="shared" si="27"/>
      </c>
      <c r="I76" s="13"/>
    </row>
    <row r="77" spans="2:9" ht="12.75">
      <c r="B77" s="8">
        <f t="shared" si="25"/>
        <v>1998</v>
      </c>
      <c r="C77" s="13">
        <f>IF(OR(C65=0,D65=""),"",D65/C65)</f>
        <v>2.3344920818848975</v>
      </c>
      <c r="D77" s="63">
        <f>IF(OR(D65=0,E65=""),"",8734/D65)</f>
        <v>1.4450694904037062</v>
      </c>
      <c r="E77" s="63">
        <f>IF(OR(E65=0,F65=""),"",F65/8734)</f>
        <v>1.2179986260590794</v>
      </c>
      <c r="F77" s="13">
        <f aca="true" t="shared" si="28" ref="F77:H79">IF(OR(F65=0,G65=""),"",G65/F65)</f>
      </c>
      <c r="G77" s="13">
        <f t="shared" si="28"/>
      </c>
      <c r="H77" s="13">
        <f t="shared" si="28"/>
      </c>
      <c r="I77" s="13"/>
    </row>
    <row r="78" spans="2:9" ht="12.75">
      <c r="B78" s="8">
        <f t="shared" si="25"/>
        <v>1999</v>
      </c>
      <c r="C78" s="13">
        <f>IF(OR(C66=0,D66=""),"",D66/C66)</f>
        <v>2.460400920144594</v>
      </c>
      <c r="D78" s="13">
        <f>IF(OR(D66=0,E66=""),"",E66/D66)</f>
        <v>1.4549218645652464</v>
      </c>
      <c r="E78" s="13">
        <f>IF(OR(E66=0,F66=""),"",F66/E66)</f>
      </c>
      <c r="F78" s="13">
        <f t="shared" si="28"/>
      </c>
      <c r="G78" s="13">
        <f t="shared" si="28"/>
      </c>
      <c r="H78" s="13">
        <f t="shared" si="28"/>
      </c>
      <c r="I78" s="13"/>
    </row>
    <row r="79" spans="2:9" ht="12.75">
      <c r="B79" s="8">
        <f t="shared" si="25"/>
        <v>2000</v>
      </c>
      <c r="C79" s="13">
        <f>IF(OR(C67=0,D67=""),"",D67/C67)</f>
        <v>2.3551068883610453</v>
      </c>
      <c r="D79" s="13">
        <f>IF(OR(D67=0,E67=""),"",E67/D67)</f>
      </c>
      <c r="E79" s="13">
        <f>IF(OR(E67=0,F67=""),"",F67/E67)</f>
      </c>
      <c r="F79" s="13">
        <f t="shared" si="28"/>
      </c>
      <c r="G79" s="13">
        <f t="shared" si="28"/>
      </c>
      <c r="H79" s="13">
        <f t="shared" si="28"/>
      </c>
      <c r="I79" s="13"/>
    </row>
    <row r="80" ht="12.75">
      <c r="B80" s="8"/>
    </row>
    <row r="81" spans="2:8" ht="12.75">
      <c r="B81" s="21" t="str">
        <f>B29</f>
        <v>All Yr. Avg</v>
      </c>
      <c r="C81" s="14">
        <f aca="true" t="shared" si="29" ref="C81:H81">AVERAGE(C74:C79)</f>
        <v>2.285211529621552</v>
      </c>
      <c r="D81" s="14">
        <f t="shared" si="29"/>
        <v>1.4253934456610178</v>
      </c>
      <c r="E81" s="14">
        <f t="shared" si="29"/>
        <v>1.2132232048692067</v>
      </c>
      <c r="F81" s="14">
        <f t="shared" si="29"/>
        <v>1.054001925619925</v>
      </c>
      <c r="G81" s="14">
        <f t="shared" si="29"/>
        <v>1.0300417795777492</v>
      </c>
      <c r="H81" s="14">
        <f t="shared" si="29"/>
        <v>1.0169665057773878</v>
      </c>
    </row>
    <row r="82" spans="2:6" ht="12.75">
      <c r="B82" s="21" t="str">
        <f>B30</f>
        <v>Latest 3 Yr Avg</v>
      </c>
      <c r="C82" s="14">
        <f>AVERAGE(C77:C79)</f>
        <v>2.3833332967968457</v>
      </c>
      <c r="D82" s="14">
        <f>AVERAGE(D76:D78)</f>
        <v>1.4356143897602436</v>
      </c>
      <c r="E82" s="14">
        <f>AVERAGE(E75:E77)</f>
        <v>1.2150095744250873</v>
      </c>
      <c r="F82" s="14">
        <f>AVERAGE(F74:F76)</f>
        <v>1.054001925619925</v>
      </c>
    </row>
    <row r="83" spans="2:6" ht="12.75">
      <c r="B83" s="21" t="str">
        <f>B31</f>
        <v>X High/Low</v>
      </c>
      <c r="C83" s="14">
        <f>(SUM(C74:C79)-MIN(C74:C79)-MAX(C74:C79))/(COUNT(C74:C79)-2)</f>
        <v>2.27562108006709</v>
      </c>
      <c r="D83" s="14">
        <f>(SUM(D74:D79)-MIN(D74:D79)-MAX(D74:D79))/(COUNT(D74:D79)-2)</f>
        <v>1.4259842537639107</v>
      </c>
      <c r="E83" s="14">
        <f>(SUM(E74:E79)-MIN(E74:E79)-MAX(E74:E79))/(COUNT(E74:E79)-2)</f>
        <v>1.212931361130322</v>
      </c>
      <c r="F83" s="14">
        <f>(SUM(F74:F79)-MIN(F74:F79)-MAX(F74:F79))/(COUNT(F74:F79)-2)</f>
        <v>1.0540325784664282</v>
      </c>
    </row>
    <row r="84" spans="2:9" ht="12.75">
      <c r="B84" s="21" t="str">
        <f>B32</f>
        <v>Industry</v>
      </c>
      <c r="C84" s="55">
        <v>2.41</v>
      </c>
      <c r="D84" s="55">
        <v>1.432</v>
      </c>
      <c r="E84" s="55">
        <v>1.209</v>
      </c>
      <c r="F84" s="55">
        <v>1.05</v>
      </c>
      <c r="G84" s="55">
        <v>1.032</v>
      </c>
      <c r="H84" s="55">
        <v>1.015</v>
      </c>
      <c r="I84" s="55">
        <v>1.068</v>
      </c>
    </row>
    <row r="85" ht="12.75">
      <c r="B85" s="22"/>
    </row>
    <row r="86" spans="2:9" ht="12.75">
      <c r="B86" s="21" t="str">
        <f>B34</f>
        <v>Selected</v>
      </c>
      <c r="C86" s="55">
        <v>2.383</v>
      </c>
      <c r="D86" s="55">
        <v>1.436</v>
      </c>
      <c r="E86" s="55">
        <v>1.215</v>
      </c>
      <c r="F86" s="55">
        <v>1.054</v>
      </c>
      <c r="G86" s="55">
        <v>1.03</v>
      </c>
      <c r="H86" s="55">
        <v>1.017</v>
      </c>
      <c r="I86" s="89" t="s">
        <v>144</v>
      </c>
    </row>
    <row r="87" spans="2:9" ht="12.75">
      <c r="B87" s="21" t="str">
        <f>B35</f>
        <v>Age to Ult.</v>
      </c>
      <c r="C87" s="16">
        <f>C86*D87</f>
        <v>4.902581266533018</v>
      </c>
      <c r="D87" s="16">
        <f>D86*E87</f>
        <v>2.0573148411804527</v>
      </c>
      <c r="E87" s="16">
        <f>E86*F87</f>
        <v>1.4326705022148</v>
      </c>
      <c r="F87" s="16">
        <f>F86*G87</f>
        <v>1.17915267672</v>
      </c>
      <c r="G87" s="16">
        <f>G86*H87</f>
        <v>1.11874068</v>
      </c>
      <c r="H87" s="16">
        <f>H86*I84</f>
        <v>1.086156</v>
      </c>
      <c r="I87" s="90" t="str">
        <f>I86</f>
        <v>(e) </v>
      </c>
    </row>
    <row r="90" ht="12.75">
      <c r="C90" s="22" t="s">
        <v>31</v>
      </c>
    </row>
    <row r="92" spans="3:5" ht="12.75">
      <c r="C92" s="57" t="s">
        <v>36</v>
      </c>
      <c r="D92" s="22"/>
      <c r="E92" s="57" t="s">
        <v>28</v>
      </c>
    </row>
    <row r="93" spans="2:5" ht="12.75">
      <c r="B93" s="8" t="str">
        <f>B72</f>
        <v>Accident</v>
      </c>
      <c r="C93" s="57" t="s">
        <v>25</v>
      </c>
      <c r="D93" s="57" t="s">
        <v>26</v>
      </c>
      <c r="E93" s="57" t="s">
        <v>29</v>
      </c>
    </row>
    <row r="94" spans="2:5" ht="12.75">
      <c r="B94" s="9" t="str">
        <f>B73</f>
        <v>Year</v>
      </c>
      <c r="C94" s="56" t="str">
        <f>"at "&amp;TEXT(curreval,"m/d/yy")</f>
        <v>at 12/31/01</v>
      </c>
      <c r="D94" s="56" t="s">
        <v>27</v>
      </c>
      <c r="E94" s="56" t="s">
        <v>25</v>
      </c>
    </row>
    <row r="95" spans="2:5" ht="12.75">
      <c r="B95" s="8">
        <f aca="true" t="shared" si="30" ref="B95:B101">B62</f>
        <v>1995</v>
      </c>
      <c r="C95" s="1">
        <f ca="1">OFFSET(C$68,-A98,A98)</f>
        <v>6953</v>
      </c>
      <c r="D95" s="55">
        <f>I84</f>
        <v>1.068</v>
      </c>
      <c r="E95" s="1">
        <f aca="true" t="shared" si="31" ref="E95:E101">D95*C95</f>
        <v>7425.804</v>
      </c>
    </row>
    <row r="96" spans="2:5" ht="12.75">
      <c r="B96" s="8">
        <f t="shared" si="30"/>
        <v>1996</v>
      </c>
      <c r="C96" s="1">
        <f ca="1">OFFSET(C$68,-A99,A99)</f>
        <v>8222</v>
      </c>
      <c r="D96" s="16">
        <f aca="true" ca="1" t="shared" si="32" ref="D96:D101">OFFSET(C$87,0,A99)</f>
        <v>1.086156</v>
      </c>
      <c r="E96" s="1">
        <f t="shared" si="31"/>
        <v>8930.374632</v>
      </c>
    </row>
    <row r="97" spans="2:5" ht="12.75">
      <c r="B97" s="8">
        <f t="shared" si="30"/>
        <v>1997</v>
      </c>
      <c r="C97" s="1">
        <f ca="1">OFFSET(C$68,-A100,A100)</f>
        <v>8941</v>
      </c>
      <c r="D97" s="16">
        <f ca="1" t="shared" si="32"/>
        <v>1.11874068</v>
      </c>
      <c r="E97" s="1">
        <f t="shared" si="31"/>
        <v>10002.66041988</v>
      </c>
    </row>
    <row r="98" spans="1:5" ht="12.75">
      <c r="A98" s="29">
        <f aca="true" t="shared" si="33" ref="A98:A103">A99+1</f>
        <v>6</v>
      </c>
      <c r="B98" s="8">
        <f t="shared" si="30"/>
        <v>1998</v>
      </c>
      <c r="C98" s="1">
        <f ca="1">OFFSET(C$68,-A101,A101)</f>
        <v>10638</v>
      </c>
      <c r="D98" s="16">
        <f ca="1" t="shared" si="32"/>
        <v>1.17915267672</v>
      </c>
      <c r="E98" s="1">
        <f t="shared" si="31"/>
        <v>12543.82617494736</v>
      </c>
    </row>
    <row r="99" spans="1:5" ht="12.75">
      <c r="A99" s="29">
        <f t="shared" si="33"/>
        <v>5</v>
      </c>
      <c r="B99" s="8">
        <f t="shared" si="30"/>
        <v>1999</v>
      </c>
      <c r="C99" s="88" t="s">
        <v>145</v>
      </c>
      <c r="D99" s="16">
        <f ca="1" t="shared" si="32"/>
        <v>1.4326705022148</v>
      </c>
      <c r="E99" s="1">
        <f>+D99*E66</f>
        <v>15606.079780625818</v>
      </c>
    </row>
    <row r="100" spans="1:5" ht="12.75">
      <c r="A100" s="29">
        <f t="shared" si="33"/>
        <v>4</v>
      </c>
      <c r="B100" s="8">
        <f t="shared" si="30"/>
        <v>2000</v>
      </c>
      <c r="C100" s="1">
        <f ca="1">OFFSET(C$68,-A103,A103)</f>
        <v>7932</v>
      </c>
      <c r="D100" s="16">
        <f ca="1" t="shared" si="32"/>
        <v>2.0573148411804527</v>
      </c>
      <c r="E100" s="1">
        <f t="shared" si="31"/>
        <v>16318.62132024335</v>
      </c>
    </row>
    <row r="101" spans="1:5" ht="12.75">
      <c r="A101" s="29">
        <f t="shared" si="33"/>
        <v>3</v>
      </c>
      <c r="B101" s="8">
        <f t="shared" si="30"/>
        <v>2001</v>
      </c>
      <c r="C101" s="1">
        <f ca="1">OFFSET(C$68,-A104,A104)</f>
        <v>4370</v>
      </c>
      <c r="D101" s="16">
        <f ca="1" t="shared" si="32"/>
        <v>4.902581266533018</v>
      </c>
      <c r="E101" s="1">
        <f t="shared" si="31"/>
        <v>21424.28013474929</v>
      </c>
    </row>
    <row r="102" ht="12.75">
      <c r="A102" s="29">
        <f t="shared" si="33"/>
        <v>2</v>
      </c>
    </row>
    <row r="103" spans="1:5" ht="12.75">
      <c r="A103" s="29">
        <f t="shared" si="33"/>
        <v>1</v>
      </c>
      <c r="B103" s="18" t="str">
        <f>B51</f>
        <v>Total</v>
      </c>
      <c r="C103" s="2">
        <f>SUM(C95:C102)+E66</f>
        <v>57949</v>
      </c>
      <c r="E103" s="2">
        <f>SUM(E95:E102)</f>
        <v>92251.64646244583</v>
      </c>
    </row>
    <row r="104" ht="12.75">
      <c r="A104" s="30">
        <f>A52</f>
        <v>0</v>
      </c>
    </row>
    <row r="108" ht="12.75">
      <c r="B108" t="str">
        <f>title1</f>
        <v>Monstertruck Mutual</v>
      </c>
    </row>
    <row r="109" ht="12.75">
      <c r="B109" t="str">
        <f>line</f>
        <v>Commercial Automobile Liability</v>
      </c>
    </row>
    <row r="110" ht="12.75">
      <c r="B110" s="22" t="s">
        <v>40</v>
      </c>
    </row>
    <row r="112" ht="12.75">
      <c r="C112" s="22" t="s">
        <v>34</v>
      </c>
    </row>
    <row r="113" spans="2:3" ht="12.75">
      <c r="B113" s="57" t="s">
        <v>0</v>
      </c>
      <c r="C113" s="22"/>
    </row>
    <row r="114" spans="2:9" ht="12.75">
      <c r="B114" s="56" t="s">
        <v>1</v>
      </c>
      <c r="C114" s="56">
        <v>12</v>
      </c>
      <c r="D114" s="9">
        <f aca="true" t="shared" si="34" ref="D114:I114">C114+12</f>
        <v>24</v>
      </c>
      <c r="E114" s="9">
        <f t="shared" si="34"/>
        <v>36</v>
      </c>
      <c r="F114" s="9">
        <f t="shared" si="34"/>
        <v>48</v>
      </c>
      <c r="G114" s="9">
        <f t="shared" si="34"/>
        <v>60</v>
      </c>
      <c r="H114" s="9">
        <f t="shared" si="34"/>
        <v>72</v>
      </c>
      <c r="I114" s="9">
        <f t="shared" si="34"/>
        <v>84</v>
      </c>
    </row>
    <row r="115" spans="2:9" ht="12.75">
      <c r="B115" s="8">
        <f aca="true" t="shared" si="35" ref="B115:B120">B116-1</f>
        <v>1995</v>
      </c>
      <c r="C115" s="23">
        <v>445</v>
      </c>
      <c r="D115" s="23">
        <v>545</v>
      </c>
      <c r="E115" s="23">
        <v>575</v>
      </c>
      <c r="F115" s="23">
        <v>582</v>
      </c>
      <c r="G115" s="23">
        <v>585</v>
      </c>
      <c r="H115" s="23">
        <v>585</v>
      </c>
      <c r="I115" s="23">
        <v>585</v>
      </c>
    </row>
    <row r="116" spans="2:9" ht="12.75">
      <c r="B116" s="8">
        <f t="shared" si="35"/>
        <v>1996</v>
      </c>
      <c r="C116" s="23">
        <v>544</v>
      </c>
      <c r="D116" s="23">
        <v>635</v>
      </c>
      <c r="E116" s="23">
        <v>674</v>
      </c>
      <c r="F116" s="23">
        <v>680</v>
      </c>
      <c r="G116" s="23">
        <v>682</v>
      </c>
      <c r="H116" s="23">
        <v>682</v>
      </c>
      <c r="I116" s="23"/>
    </row>
    <row r="117" spans="2:9" ht="12.75">
      <c r="B117" s="8">
        <f t="shared" si="35"/>
        <v>1997</v>
      </c>
      <c r="C117" s="23">
        <v>625</v>
      </c>
      <c r="D117" s="23">
        <v>744</v>
      </c>
      <c r="E117" s="23">
        <v>780</v>
      </c>
      <c r="F117" s="23">
        <v>790</v>
      </c>
      <c r="G117" s="23">
        <v>791</v>
      </c>
      <c r="H117" s="23"/>
      <c r="I117" s="23"/>
    </row>
    <row r="118" spans="2:9" ht="12.75">
      <c r="B118" s="8">
        <f t="shared" si="35"/>
        <v>1998</v>
      </c>
      <c r="C118" s="23">
        <v>691</v>
      </c>
      <c r="D118" s="23">
        <v>833</v>
      </c>
      <c r="E118" s="72">
        <v>877</v>
      </c>
      <c r="F118" s="23">
        <v>883</v>
      </c>
      <c r="G118" s="23"/>
      <c r="H118" s="23"/>
      <c r="I118" s="23"/>
    </row>
    <row r="119" spans="2:9" ht="12.75">
      <c r="B119" s="8">
        <f t="shared" si="35"/>
        <v>1999</v>
      </c>
      <c r="C119" s="23">
        <v>785</v>
      </c>
      <c r="D119" s="23">
        <v>924</v>
      </c>
      <c r="E119" s="23">
        <v>972</v>
      </c>
      <c r="F119" s="23"/>
      <c r="G119" s="23"/>
      <c r="H119" s="23"/>
      <c r="I119" s="23"/>
    </row>
    <row r="120" spans="2:9" ht="12.75">
      <c r="B120" s="8">
        <f t="shared" si="35"/>
        <v>2000</v>
      </c>
      <c r="C120" s="23">
        <v>775</v>
      </c>
      <c r="D120" s="23">
        <v>940</v>
      </c>
      <c r="E120" s="23"/>
      <c r="F120" s="23"/>
      <c r="G120" s="23"/>
      <c r="H120" s="23"/>
      <c r="I120" s="23"/>
    </row>
    <row r="121" spans="2:9" ht="12.75">
      <c r="B121" s="57">
        <f>B16</f>
        <v>2001</v>
      </c>
      <c r="C121" s="23">
        <v>935</v>
      </c>
      <c r="D121" s="23"/>
      <c r="E121" s="23"/>
      <c r="F121" s="23"/>
      <c r="G121" s="23"/>
      <c r="H121" s="23"/>
      <c r="I121" s="23"/>
    </row>
    <row r="124" ht="12.75">
      <c r="C124" s="22" t="s">
        <v>35</v>
      </c>
    </row>
    <row r="125" ht="12.75">
      <c r="B125" s="8" t="str">
        <f aca="true" t="shared" si="36" ref="B125:B132">B113</f>
        <v>Accident</v>
      </c>
    </row>
    <row r="126" spans="2:9" ht="12.75">
      <c r="B126" s="9" t="str">
        <f t="shared" si="36"/>
        <v>Year</v>
      </c>
      <c r="C126" s="9" t="str">
        <f aca="true" t="shared" si="37" ref="C126:H126">C114&amp;" - "&amp;D114</f>
        <v>12 - 24</v>
      </c>
      <c r="D126" s="9" t="str">
        <f t="shared" si="37"/>
        <v>24 - 36</v>
      </c>
      <c r="E126" s="9" t="str">
        <f t="shared" si="37"/>
        <v>36 - 48</v>
      </c>
      <c r="F126" s="9" t="str">
        <f t="shared" si="37"/>
        <v>48 - 60</v>
      </c>
      <c r="G126" s="9" t="str">
        <f t="shared" si="37"/>
        <v>60 - 72</v>
      </c>
      <c r="H126" s="9" t="str">
        <f t="shared" si="37"/>
        <v>72 - 84</v>
      </c>
      <c r="I126" s="9" t="str">
        <f>I114&amp;" - ULT"</f>
        <v>84 - ULT</v>
      </c>
    </row>
    <row r="127" spans="2:9" ht="12.75">
      <c r="B127" s="8">
        <f t="shared" si="36"/>
        <v>1995</v>
      </c>
      <c r="C127" s="12">
        <f aca="true" t="shared" si="38" ref="C127:H132">IF(OR(C115=0,D115=""),"",D115/C115)</f>
        <v>1.2247191011235956</v>
      </c>
      <c r="D127" s="12">
        <f t="shared" si="38"/>
        <v>1.055045871559633</v>
      </c>
      <c r="E127" s="12">
        <f t="shared" si="38"/>
        <v>1.0121739130434784</v>
      </c>
      <c r="F127" s="12">
        <f t="shared" si="38"/>
        <v>1.0051546391752577</v>
      </c>
      <c r="G127" s="12">
        <f t="shared" si="38"/>
        <v>1</v>
      </c>
      <c r="H127" s="12">
        <f t="shared" si="38"/>
        <v>1</v>
      </c>
      <c r="I127" s="12"/>
    </row>
    <row r="128" spans="2:9" ht="12.75">
      <c r="B128" s="8">
        <f t="shared" si="36"/>
        <v>1996</v>
      </c>
      <c r="C128" s="13">
        <f t="shared" si="38"/>
        <v>1.1672794117647058</v>
      </c>
      <c r="D128" s="13">
        <f t="shared" si="38"/>
        <v>1.0614173228346457</v>
      </c>
      <c r="E128" s="13">
        <f t="shared" si="38"/>
        <v>1.0089020771513353</v>
      </c>
      <c r="F128" s="13">
        <f t="shared" si="38"/>
        <v>1.0029411764705882</v>
      </c>
      <c r="G128" s="13">
        <f t="shared" si="38"/>
        <v>1</v>
      </c>
      <c r="H128" s="13">
        <f t="shared" si="38"/>
      </c>
      <c r="I128" s="13"/>
    </row>
    <row r="129" spans="2:9" ht="12.75">
      <c r="B129" s="8">
        <f t="shared" si="36"/>
        <v>1997</v>
      </c>
      <c r="C129" s="13">
        <f t="shared" si="38"/>
        <v>1.1904</v>
      </c>
      <c r="D129" s="13">
        <f t="shared" si="38"/>
        <v>1.0483870967741935</v>
      </c>
      <c r="E129" s="13">
        <f t="shared" si="38"/>
        <v>1.0128205128205128</v>
      </c>
      <c r="F129" s="13">
        <f t="shared" si="38"/>
        <v>1.0012658227848101</v>
      </c>
      <c r="G129" s="13">
        <f t="shared" si="38"/>
      </c>
      <c r="H129" s="13">
        <f t="shared" si="38"/>
      </c>
      <c r="I129" s="13"/>
    </row>
    <row r="130" spans="2:9" ht="12.75">
      <c r="B130" s="8">
        <f t="shared" si="36"/>
        <v>1998</v>
      </c>
      <c r="C130" s="13">
        <f t="shared" si="38"/>
        <v>1.2054992764109986</v>
      </c>
      <c r="D130" s="13">
        <f t="shared" si="38"/>
        <v>1.0528211284513807</v>
      </c>
      <c r="E130" s="13">
        <f t="shared" si="38"/>
        <v>1.0068415051311288</v>
      </c>
      <c r="F130" s="13">
        <f t="shared" si="38"/>
      </c>
      <c r="G130" s="13">
        <f t="shared" si="38"/>
      </c>
      <c r="H130" s="13">
        <f t="shared" si="38"/>
      </c>
      <c r="I130" s="13"/>
    </row>
    <row r="131" spans="2:9" ht="12.75">
      <c r="B131" s="8">
        <f t="shared" si="36"/>
        <v>1999</v>
      </c>
      <c r="C131" s="13">
        <f t="shared" si="38"/>
        <v>1.1770700636942675</v>
      </c>
      <c r="D131" s="13">
        <f t="shared" si="38"/>
        <v>1.051948051948052</v>
      </c>
      <c r="E131" s="13">
        <f t="shared" si="38"/>
      </c>
      <c r="F131" s="13">
        <f t="shared" si="38"/>
      </c>
      <c r="G131" s="13">
        <f t="shared" si="38"/>
      </c>
      <c r="H131" s="13">
        <f t="shared" si="38"/>
      </c>
      <c r="I131" s="13"/>
    </row>
    <row r="132" spans="2:9" ht="12.75">
      <c r="B132" s="8">
        <f t="shared" si="36"/>
        <v>2000</v>
      </c>
      <c r="C132" s="13">
        <f t="shared" si="38"/>
        <v>1.2129032258064516</v>
      </c>
      <c r="D132" s="13">
        <f t="shared" si="38"/>
      </c>
      <c r="E132" s="13">
        <f t="shared" si="38"/>
      </c>
      <c r="F132" s="13">
        <f t="shared" si="38"/>
      </c>
      <c r="G132" s="13">
        <f t="shared" si="38"/>
      </c>
      <c r="H132" s="13">
        <f t="shared" si="38"/>
      </c>
      <c r="I132" s="13"/>
    </row>
    <row r="133" ht="12.75">
      <c r="B133" s="8"/>
    </row>
    <row r="134" spans="2:8" ht="12.75">
      <c r="B134" s="21" t="str">
        <f>B81</f>
        <v>All Yr. Avg</v>
      </c>
      <c r="C134" s="14">
        <f aca="true" t="shared" si="39" ref="C134:H134">AVERAGE(C127:C132)</f>
        <v>1.19631184646667</v>
      </c>
      <c r="D134" s="14">
        <f t="shared" si="39"/>
        <v>1.0539238943135811</v>
      </c>
      <c r="E134" s="14">
        <f t="shared" si="39"/>
        <v>1.0101845020366138</v>
      </c>
      <c r="F134" s="14">
        <f t="shared" si="39"/>
        <v>1.003120546143552</v>
      </c>
      <c r="G134" s="14">
        <f t="shared" si="39"/>
        <v>1</v>
      </c>
      <c r="H134" s="14">
        <f t="shared" si="39"/>
        <v>1</v>
      </c>
    </row>
    <row r="135" spans="2:6" ht="12.75">
      <c r="B135" s="21" t="str">
        <f>B82</f>
        <v>Latest 3 Yr Avg</v>
      </c>
      <c r="C135" s="14">
        <f>AVERAGE(C130:C132)</f>
        <v>1.1984908553039058</v>
      </c>
      <c r="D135" s="14">
        <f>AVERAGE(D129:D131)</f>
        <v>1.0510520923912086</v>
      </c>
      <c r="E135" s="14">
        <f>AVERAGE(E128:E130)</f>
        <v>1.0095213650343255</v>
      </c>
      <c r="F135" s="14">
        <f>AVERAGE(F127:F129)</f>
        <v>1.003120546143552</v>
      </c>
    </row>
    <row r="136" spans="2:6" ht="12.75">
      <c r="B136" s="21" t="str">
        <f>B83</f>
        <v>X High/Low</v>
      </c>
      <c r="C136" s="14">
        <f>(SUM(C127:C132)-MIN(C127:C132)-MAX(C127:C132))/(COUNT(C127:C132)-2)</f>
        <v>1.1964681414779297</v>
      </c>
      <c r="D136" s="14">
        <f>(SUM(D127:D132)-MIN(D127:D132)-MAX(D127:D132))/(COUNT(D127:D132)-2)</f>
        <v>1.0532716839863552</v>
      </c>
      <c r="E136" s="91" t="s">
        <v>146</v>
      </c>
      <c r="F136" s="14">
        <f>(SUM(F127:F132)-MIN(F127:F132)-MAX(F127:F132))/(COUNT(F127:F132)-2)</f>
        <v>1.0029411764705882</v>
      </c>
    </row>
    <row r="137" spans="2:9" ht="12.75">
      <c r="B137" s="21"/>
      <c r="C137" s="15"/>
      <c r="D137" s="15"/>
      <c r="E137" s="15"/>
      <c r="F137" s="15"/>
      <c r="G137" s="15"/>
      <c r="H137" s="15"/>
      <c r="I137" s="15"/>
    </row>
    <row r="138" spans="2:9" ht="12.75">
      <c r="B138" s="21" t="str">
        <f>B86</f>
        <v>Selected</v>
      </c>
      <c r="C138" s="55">
        <v>1.198</v>
      </c>
      <c r="D138" s="55">
        <v>1.051</v>
      </c>
      <c r="E138" s="55">
        <v>1.01</v>
      </c>
      <c r="F138" s="55">
        <v>1.003</v>
      </c>
      <c r="G138" s="55">
        <v>1</v>
      </c>
      <c r="H138" s="55">
        <v>1</v>
      </c>
      <c r="I138" s="73">
        <v>1</v>
      </c>
    </row>
    <row r="139" spans="2:9" ht="12.75">
      <c r="B139" s="21" t="str">
        <f>B87</f>
        <v>Age to Ult.</v>
      </c>
      <c r="C139" s="16">
        <f aca="true" t="shared" si="40" ref="C139:H139">C138*D139</f>
        <v>1.2755040469399996</v>
      </c>
      <c r="D139" s="16">
        <f t="shared" si="40"/>
        <v>1.0646945299999997</v>
      </c>
      <c r="E139" s="16">
        <f t="shared" si="40"/>
        <v>1.0130299999999999</v>
      </c>
      <c r="F139" s="16">
        <f t="shared" si="40"/>
        <v>1.003</v>
      </c>
      <c r="G139" s="16">
        <f t="shared" si="40"/>
        <v>1</v>
      </c>
      <c r="H139" s="16">
        <f t="shared" si="40"/>
        <v>1</v>
      </c>
      <c r="I139" s="20">
        <f>I138</f>
        <v>1</v>
      </c>
    </row>
    <row r="142" ht="12.75">
      <c r="B142" s="22" t="s">
        <v>39</v>
      </c>
    </row>
    <row r="144" spans="3:5" ht="12.75">
      <c r="C144" s="57" t="s">
        <v>37</v>
      </c>
      <c r="D144" s="22"/>
      <c r="E144" s="57" t="s">
        <v>28</v>
      </c>
    </row>
    <row r="145" spans="2:5" ht="12.75">
      <c r="B145" s="8" t="str">
        <f>B125</f>
        <v>Accident</v>
      </c>
      <c r="C145" s="57" t="s">
        <v>38</v>
      </c>
      <c r="D145" s="57" t="s">
        <v>26</v>
      </c>
      <c r="E145" s="57" t="s">
        <v>29</v>
      </c>
    </row>
    <row r="146" spans="2:5" ht="12.75">
      <c r="B146" s="9" t="str">
        <f>B126</f>
        <v>Year</v>
      </c>
      <c r="C146" s="56" t="str">
        <f>"at "&amp;TEXT(curreval,"m/d/yy")</f>
        <v>at 12/31/01</v>
      </c>
      <c r="D146" s="56" t="s">
        <v>27</v>
      </c>
      <c r="E146" s="56" t="s">
        <v>38</v>
      </c>
    </row>
    <row r="147" spans="2:5" ht="12.75">
      <c r="B147" s="8">
        <f aca="true" t="shared" si="41" ref="B147:B153">B115</f>
        <v>1995</v>
      </c>
      <c r="C147" s="1">
        <f aca="true" ca="1" t="shared" si="42" ref="C147:C153">OFFSET(C$121,-A150,A150)</f>
        <v>585</v>
      </c>
      <c r="D147" s="16">
        <f aca="true" ca="1" t="shared" si="43" ref="D147:D152">OFFSET(C$139,0,A150)</f>
        <v>1</v>
      </c>
      <c r="E147" s="1">
        <f aca="true" t="shared" si="44" ref="E147:E152">D147*C147</f>
        <v>585</v>
      </c>
    </row>
    <row r="148" spans="2:5" ht="12.75">
      <c r="B148" s="8">
        <f t="shared" si="41"/>
        <v>1996</v>
      </c>
      <c r="C148" s="1">
        <f ca="1" t="shared" si="42"/>
        <v>682</v>
      </c>
      <c r="D148" s="16">
        <f ca="1" t="shared" si="43"/>
        <v>1</v>
      </c>
      <c r="E148" s="1">
        <f t="shared" si="44"/>
        <v>682</v>
      </c>
    </row>
    <row r="149" spans="2:5" ht="12.75">
      <c r="B149" s="8">
        <f t="shared" si="41"/>
        <v>1997</v>
      </c>
      <c r="C149" s="1">
        <f ca="1" t="shared" si="42"/>
        <v>791</v>
      </c>
      <c r="D149" s="16">
        <f ca="1" t="shared" si="43"/>
        <v>1</v>
      </c>
      <c r="E149" s="1">
        <f t="shared" si="44"/>
        <v>791</v>
      </c>
    </row>
    <row r="150" spans="1:5" ht="12.75">
      <c r="A150" s="29">
        <f aca="true" t="shared" si="45" ref="A150:A155">A151+1</f>
        <v>6</v>
      </c>
      <c r="B150" s="8">
        <f t="shared" si="41"/>
        <v>1998</v>
      </c>
      <c r="C150" s="1">
        <f ca="1" t="shared" si="42"/>
        <v>883</v>
      </c>
      <c r="D150" s="16">
        <f ca="1" t="shared" si="43"/>
        <v>1.003</v>
      </c>
      <c r="E150" s="1">
        <f t="shared" si="44"/>
        <v>885.6489999999999</v>
      </c>
    </row>
    <row r="151" spans="1:5" ht="12.75">
      <c r="A151" s="29">
        <f t="shared" si="45"/>
        <v>5</v>
      </c>
      <c r="B151" s="8">
        <f t="shared" si="41"/>
        <v>1999</v>
      </c>
      <c r="C151" s="1">
        <f ca="1" t="shared" si="42"/>
        <v>972</v>
      </c>
      <c r="D151" s="16">
        <f ca="1" t="shared" si="43"/>
        <v>1.0130299999999999</v>
      </c>
      <c r="E151" s="1">
        <f t="shared" si="44"/>
        <v>984.6651599999999</v>
      </c>
    </row>
    <row r="152" spans="1:5" ht="12.75">
      <c r="A152" s="29">
        <f t="shared" si="45"/>
        <v>4</v>
      </c>
      <c r="B152" s="8">
        <f t="shared" si="41"/>
        <v>2000</v>
      </c>
      <c r="C152" s="1">
        <f ca="1" t="shared" si="42"/>
        <v>940</v>
      </c>
      <c r="D152" s="16">
        <f ca="1" t="shared" si="43"/>
        <v>1.0646945299999997</v>
      </c>
      <c r="E152" s="1">
        <f t="shared" si="44"/>
        <v>1000.8128581999997</v>
      </c>
    </row>
    <row r="153" spans="1:5" ht="12.75">
      <c r="A153" s="29">
        <f t="shared" si="45"/>
        <v>3</v>
      </c>
      <c r="B153" s="8">
        <f t="shared" si="41"/>
        <v>2001</v>
      </c>
      <c r="C153" s="1">
        <f ca="1" t="shared" si="42"/>
        <v>935</v>
      </c>
      <c r="D153" s="90" t="s">
        <v>147</v>
      </c>
      <c r="E153" s="1">
        <f>C139*C153</f>
        <v>1192.5962838888997</v>
      </c>
    </row>
    <row r="154" ht="12.75">
      <c r="A154" s="29">
        <f t="shared" si="45"/>
        <v>2</v>
      </c>
    </row>
    <row r="155" spans="1:5" ht="12.75">
      <c r="A155" s="29">
        <f t="shared" si="45"/>
        <v>1</v>
      </c>
      <c r="B155" s="18" t="str">
        <f>B103</f>
        <v>Total</v>
      </c>
      <c r="C155" s="2">
        <f>SUM(C147:C154)</f>
        <v>5788</v>
      </c>
      <c r="E155" s="2">
        <f>SUM(E147:E154)</f>
        <v>6121.7233020889</v>
      </c>
    </row>
    <row r="156" ht="12.75">
      <c r="A156" s="30">
        <f>A104</f>
        <v>0</v>
      </c>
    </row>
    <row r="160" ht="12.75">
      <c r="B160" t="str">
        <f>title1</f>
        <v>Monstertruck Mutual</v>
      </c>
    </row>
    <row r="161" ht="12.75">
      <c r="B161" t="str">
        <f>line</f>
        <v>Commercial Automobile Liability</v>
      </c>
    </row>
    <row r="162" ht="12.75">
      <c r="B162" s="22" t="str">
        <f>B110</f>
        <v>Reported Counts and Averages Method</v>
      </c>
    </row>
    <row r="164" ht="12.75">
      <c r="C164" s="22" t="s">
        <v>41</v>
      </c>
    </row>
    <row r="165" spans="2:3" ht="12.75">
      <c r="B165" s="57" t="s">
        <v>0</v>
      </c>
      <c r="C165" s="22"/>
    </row>
    <row r="166" spans="2:9" ht="12.75">
      <c r="B166" s="56" t="s">
        <v>1</v>
      </c>
      <c r="C166" s="56">
        <v>12</v>
      </c>
      <c r="D166" s="9">
        <f aca="true" t="shared" si="46" ref="D166:I166">C166+12</f>
        <v>24</v>
      </c>
      <c r="E166" s="9">
        <f t="shared" si="46"/>
        <v>36</v>
      </c>
      <c r="F166" s="9">
        <f t="shared" si="46"/>
        <v>48</v>
      </c>
      <c r="G166" s="9">
        <f t="shared" si="46"/>
        <v>60</v>
      </c>
      <c r="H166" s="9">
        <f t="shared" si="46"/>
        <v>72</v>
      </c>
      <c r="I166" s="9">
        <f t="shared" si="46"/>
        <v>84</v>
      </c>
    </row>
    <row r="167" spans="2:9" ht="12.75">
      <c r="B167" s="8">
        <f aca="true" t="shared" si="47" ref="B167:B172">B168-1</f>
        <v>1995</v>
      </c>
      <c r="C167" s="23">
        <f aca="true" t="shared" si="48" ref="C167:I168">IF(OR(C115=0,C115="",C10=""),"",C10/C115*1000)</f>
        <v>9869.662921348316</v>
      </c>
      <c r="D167" s="23">
        <f t="shared" si="48"/>
        <v>10677.064220183487</v>
      </c>
      <c r="E167" s="23">
        <f t="shared" si="48"/>
        <v>11396.521739130436</v>
      </c>
      <c r="F167" s="23">
        <f t="shared" si="48"/>
        <v>11991.408934707904</v>
      </c>
      <c r="G167" s="23">
        <f t="shared" si="48"/>
        <v>12323.076923076924</v>
      </c>
      <c r="H167" s="23">
        <f t="shared" si="48"/>
        <v>12507.692307692309</v>
      </c>
      <c r="I167" s="23">
        <f t="shared" si="48"/>
        <v>12533.333333333334</v>
      </c>
    </row>
    <row r="168" spans="2:9" ht="12.75">
      <c r="B168" s="8">
        <f t="shared" si="47"/>
        <v>1996</v>
      </c>
      <c r="C168" s="23">
        <f t="shared" si="48"/>
        <v>9406.25</v>
      </c>
      <c r="D168" s="23">
        <f t="shared" si="48"/>
        <v>10886.614173228347</v>
      </c>
      <c r="E168" s="23">
        <f t="shared" si="48"/>
        <v>11795.252225519289</v>
      </c>
      <c r="F168" s="23">
        <f t="shared" si="48"/>
        <v>12473.529411764704</v>
      </c>
      <c r="G168" s="23">
        <f t="shared" si="48"/>
        <v>12797.65395894428</v>
      </c>
      <c r="H168" s="23">
        <f t="shared" si="48"/>
        <v>12951.612903225807</v>
      </c>
      <c r="I168" s="23">
        <f t="shared" si="48"/>
      </c>
    </row>
    <row r="169" spans="2:9" ht="12.75">
      <c r="B169" s="8">
        <f t="shared" si="47"/>
        <v>1997</v>
      </c>
      <c r="C169" s="23">
        <f aca="true" t="shared" si="49" ref="C169:D171">IF(OR(C117=0,C117="",C12=""),"",C12/C117*1000)</f>
        <v>9332.800000000001</v>
      </c>
      <c r="D169" s="23">
        <f t="shared" si="49"/>
        <v>10482.52688172043</v>
      </c>
      <c r="E169" s="92" t="s">
        <v>148</v>
      </c>
      <c r="F169" s="23">
        <f aca="true" t="shared" si="50" ref="F169:I173">IF(OR(F117=0,F117="",F12=""),"",F12/F117*1000)</f>
        <v>11930.379746835444</v>
      </c>
      <c r="G169" s="23">
        <f t="shared" si="50"/>
        <v>12271.80783817952</v>
      </c>
      <c r="H169" s="23">
        <f t="shared" si="50"/>
      </c>
      <c r="I169" s="23">
        <f t="shared" si="50"/>
      </c>
    </row>
    <row r="170" spans="2:9" ht="12.75">
      <c r="B170" s="8">
        <f t="shared" si="47"/>
        <v>1998</v>
      </c>
      <c r="C170" s="23">
        <f t="shared" si="49"/>
        <v>10002.894356005789</v>
      </c>
      <c r="D170" s="23">
        <f t="shared" si="49"/>
        <v>11683.073229291716</v>
      </c>
      <c r="E170" s="23">
        <f>IF(OR(E118=0,E118="",E13=""),"",E13/E118*1000)</f>
        <v>12583.808437856329</v>
      </c>
      <c r="F170" s="23">
        <f t="shared" si="50"/>
        <v>13311.438278595697</v>
      </c>
      <c r="G170" s="23">
        <f t="shared" si="50"/>
      </c>
      <c r="H170" s="23">
        <f t="shared" si="50"/>
      </c>
      <c r="I170" s="23">
        <f t="shared" si="50"/>
      </c>
    </row>
    <row r="171" spans="2:9" ht="12.75">
      <c r="B171" s="8">
        <f t="shared" si="47"/>
        <v>1999</v>
      </c>
      <c r="C171" s="23">
        <f t="shared" si="49"/>
        <v>10477.707006369426</v>
      </c>
      <c r="D171" s="23">
        <f t="shared" si="49"/>
        <v>12756.493506493505</v>
      </c>
      <c r="E171" s="23">
        <f>IF(OR(E119=0,E119="",E14=""),"",E14/E119*1000)</f>
        <v>13872.427983539093</v>
      </c>
      <c r="F171" s="23">
        <f t="shared" si="50"/>
      </c>
      <c r="G171" s="23">
        <f t="shared" si="50"/>
      </c>
      <c r="H171" s="23">
        <f t="shared" si="50"/>
      </c>
      <c r="I171" s="23">
        <f t="shared" si="50"/>
      </c>
    </row>
    <row r="172" spans="2:9" ht="12.75">
      <c r="B172" s="8">
        <f t="shared" si="47"/>
        <v>2000</v>
      </c>
      <c r="C172" s="23">
        <f>IF(OR(C120=0,C120="",C15=""),"",D15/C27/C120*1000)</f>
        <v>12417.38080308414</v>
      </c>
      <c r="D172" s="23">
        <f>IF(OR(D120=0,D120="",D15=""),"",D15/D120*1000)</f>
        <v>14220.212765957447</v>
      </c>
      <c r="F172" s="23">
        <f t="shared" si="50"/>
      </c>
      <c r="G172" s="23">
        <f t="shared" si="50"/>
      </c>
      <c r="H172" s="23">
        <f t="shared" si="50"/>
      </c>
      <c r="I172" s="23">
        <f t="shared" si="50"/>
      </c>
    </row>
    <row r="173" spans="2:9" ht="12.75">
      <c r="B173" s="57">
        <f>B16</f>
        <v>2001</v>
      </c>
      <c r="C173" s="23">
        <f>IF(OR(C121=0,C121="",C16=""),"",C16/C121*1000)</f>
        <v>12299.46524064171</v>
      </c>
      <c r="D173" s="23">
        <f>IF(OR(D121=0,D121="",D16=""),"",D16/D121*1000)</f>
      </c>
      <c r="E173" s="23">
        <f>IF(OR(E121=0,E121="",E16=""),"",E16/E121*1000)</f>
      </c>
      <c r="F173" s="23">
        <f t="shared" si="50"/>
      </c>
      <c r="G173" s="23">
        <f t="shared" si="50"/>
      </c>
      <c r="H173" s="23">
        <f t="shared" si="50"/>
      </c>
      <c r="I173" s="23">
        <f t="shared" si="50"/>
      </c>
    </row>
    <row r="176" ht="12.75">
      <c r="C176" s="22" t="s">
        <v>61</v>
      </c>
    </row>
    <row r="177" ht="12.75">
      <c r="B177" s="8" t="str">
        <f aca="true" t="shared" si="51" ref="B177:B184">B165</f>
        <v>Accident</v>
      </c>
    </row>
    <row r="178" spans="2:9" ht="12.75">
      <c r="B178" s="9" t="str">
        <f t="shared" si="51"/>
        <v>Year</v>
      </c>
      <c r="C178" s="9" t="str">
        <f aca="true" t="shared" si="52" ref="C178:H178">C166&amp;" - "&amp;D166</f>
        <v>12 - 24</v>
      </c>
      <c r="D178" s="9" t="str">
        <f t="shared" si="52"/>
        <v>24 - 36</v>
      </c>
      <c r="E178" s="9" t="str">
        <f t="shared" si="52"/>
        <v>36 - 48</v>
      </c>
      <c r="F178" s="9" t="str">
        <f t="shared" si="52"/>
        <v>48 - 60</v>
      </c>
      <c r="G178" s="9" t="str">
        <f t="shared" si="52"/>
        <v>60 - 72</v>
      </c>
      <c r="H178" s="9" t="str">
        <f t="shared" si="52"/>
        <v>72 - 84</v>
      </c>
      <c r="I178" s="9" t="str">
        <f>I166&amp;" - ULT"</f>
        <v>84 - ULT</v>
      </c>
    </row>
    <row r="179" spans="2:9" ht="12.75">
      <c r="B179" s="8">
        <f t="shared" si="51"/>
        <v>1995</v>
      </c>
      <c r="C179" s="12">
        <f aca="true" t="shared" si="53" ref="C179:H180">IF(OR(C167=0,D167=""),"",D167/C167)</f>
        <v>1.0818063702144014</v>
      </c>
      <c r="D179" s="12">
        <f t="shared" si="53"/>
        <v>1.067383458983689</v>
      </c>
      <c r="E179" s="12">
        <f t="shared" si="53"/>
        <v>1.0521990138039135</v>
      </c>
      <c r="F179" s="12">
        <f t="shared" si="53"/>
        <v>1.0276588005775569</v>
      </c>
      <c r="G179" s="12">
        <f t="shared" si="53"/>
        <v>1.0149812734082397</v>
      </c>
      <c r="H179" s="12">
        <f t="shared" si="53"/>
        <v>1.002050020500205</v>
      </c>
      <c r="I179" s="12"/>
    </row>
    <row r="180" spans="2:9" ht="12.75">
      <c r="B180" s="8">
        <f t="shared" si="51"/>
        <v>1996</v>
      </c>
      <c r="C180" s="13">
        <f t="shared" si="53"/>
        <v>1.1573809087817513</v>
      </c>
      <c r="D180" s="13">
        <f t="shared" si="53"/>
        <v>1.0834637875314261</v>
      </c>
      <c r="E180" s="13">
        <f t="shared" si="53"/>
        <v>1.0575042545320013</v>
      </c>
      <c r="F180" s="13">
        <f t="shared" si="53"/>
        <v>1.0259849908137364</v>
      </c>
      <c r="G180" s="13">
        <f t="shared" si="53"/>
        <v>1.0120302474793768</v>
      </c>
      <c r="H180" s="13">
        <f t="shared" si="53"/>
      </c>
      <c r="I180" s="13"/>
    </row>
    <row r="181" spans="2:9" ht="12.75">
      <c r="B181" s="8">
        <f t="shared" si="51"/>
        <v>1997</v>
      </c>
      <c r="C181" s="13">
        <f>IF(OR(C169=0,D169=""),"",D169/C169)</f>
        <v>1.1231920625879082</v>
      </c>
      <c r="D181" s="13">
        <f>IF(OR(D169=0,E169=""),"",11388/D169)</f>
        <v>1.0863792793947942</v>
      </c>
      <c r="E181" s="13">
        <f>IF(OR(E169=0,F169=""),"",F169/11388)</f>
        <v>1.0476273047800706</v>
      </c>
      <c r="F181" s="13">
        <f aca="true" t="shared" si="54" ref="F181:H184">IF(OR(F169=0,G169=""),"",G169/F169)</f>
        <v>1.0286183758261878</v>
      </c>
      <c r="G181" s="13">
        <f t="shared" si="54"/>
      </c>
      <c r="H181" s="13">
        <f t="shared" si="54"/>
      </c>
      <c r="I181" s="13"/>
    </row>
    <row r="182" spans="2:9" ht="12.75">
      <c r="B182" s="8">
        <f t="shared" si="51"/>
        <v>1998</v>
      </c>
      <c r="C182" s="13">
        <f>IF(OR(C170=0,D170=""),"",D170/C170)</f>
        <v>1.16796927104175</v>
      </c>
      <c r="D182" s="13">
        <f>IF(OR(D170=0,E170=""),"",E170/D170)</f>
        <v>1.077097454658274</v>
      </c>
      <c r="E182" s="13">
        <f>IF(OR(E170=0,F170=""),"",F170/E170)</f>
        <v>1.0578227048141016</v>
      </c>
      <c r="F182" s="13">
        <f t="shared" si="54"/>
      </c>
      <c r="G182" s="13">
        <f t="shared" si="54"/>
      </c>
      <c r="H182" s="13">
        <f t="shared" si="54"/>
      </c>
      <c r="I182" s="13"/>
    </row>
    <row r="183" spans="2:9" ht="12.75">
      <c r="B183" s="8">
        <f t="shared" si="51"/>
        <v>1999</v>
      </c>
      <c r="C183" s="13">
        <f>IF(OR(C171=0,D171=""),"",D171/C171)</f>
        <v>1.2174890459084988</v>
      </c>
      <c r="D183" s="13">
        <f>IF(OR(D171=0,E171=""),"",E171/D171)</f>
        <v>1.0874797197582187</v>
      </c>
      <c r="E183" s="13">
        <f>IF(OR(E171=0,F171=""),"",F171/E171)</f>
      </c>
      <c r="F183" s="13">
        <f t="shared" si="54"/>
      </c>
      <c r="G183" s="13">
        <f t="shared" si="54"/>
      </c>
      <c r="H183" s="13">
        <f t="shared" si="54"/>
      </c>
      <c r="I183" s="13"/>
    </row>
    <row r="184" spans="2:9" ht="12.75">
      <c r="B184" s="8">
        <f t="shared" si="51"/>
        <v>2000</v>
      </c>
      <c r="C184" s="13">
        <f>IF(OR(C172=0,D172=""),"",D172/C172)</f>
        <v>1.1451861702127661</v>
      </c>
      <c r="D184" s="13">
        <f>IF(OR(D172=0,G206=""),"",G206/D172)</f>
      </c>
      <c r="E184" s="13">
        <f>IF(OR(G206=0,F172=""),"",F172/G206)</f>
      </c>
      <c r="F184" s="13">
        <f t="shared" si="54"/>
      </c>
      <c r="G184" s="13">
        <f t="shared" si="54"/>
      </c>
      <c r="H184" s="13">
        <f t="shared" si="54"/>
      </c>
      <c r="I184" s="13"/>
    </row>
    <row r="185" ht="12.75">
      <c r="B185" s="8"/>
    </row>
    <row r="186" spans="2:8" ht="12.75">
      <c r="B186" s="21" t="str">
        <f>B134</f>
        <v>All Yr. Avg</v>
      </c>
      <c r="C186" s="14">
        <f aca="true" t="shared" si="55" ref="C186:H186">AVERAGE(C179:C184)</f>
        <v>1.1488373047911793</v>
      </c>
      <c r="D186" s="14">
        <f t="shared" si="55"/>
        <v>1.0803607400652804</v>
      </c>
      <c r="E186" s="14">
        <f t="shared" si="55"/>
        <v>1.0537883194825217</v>
      </c>
      <c r="F186" s="14">
        <f t="shared" si="55"/>
        <v>1.027420722405827</v>
      </c>
      <c r="G186" s="14">
        <f t="shared" si="55"/>
        <v>1.0135057604438082</v>
      </c>
      <c r="H186" s="14">
        <f t="shared" si="55"/>
        <v>1.002050020500205</v>
      </c>
    </row>
    <row r="187" spans="2:6" ht="12.75">
      <c r="B187" s="21" t="str">
        <f>B135</f>
        <v>Latest 3 Yr Avg</v>
      </c>
      <c r="C187" s="14">
        <f>AVERAGE(C182:C184)</f>
        <v>1.1768814957210052</v>
      </c>
      <c r="D187" s="14">
        <f>AVERAGE(D181:D183)</f>
        <v>1.083652151270429</v>
      </c>
      <c r="E187" s="14">
        <f>AVERAGE(E180:E182)</f>
        <v>1.0543180880420577</v>
      </c>
      <c r="F187" s="14">
        <f>AVERAGE(F179:F181)</f>
        <v>1.027420722405827</v>
      </c>
    </row>
    <row r="188" spans="2:6" ht="12.75">
      <c r="B188" s="21" t="str">
        <f>B136</f>
        <v>X High/Low</v>
      </c>
      <c r="C188" s="14">
        <f>(SUM(C179:C184)-MIN(C179:C184)-MAX(C179:C184))/(COUNT(C179:C184)-2)</f>
        <v>1.1484321031560438</v>
      </c>
      <c r="D188" s="14">
        <f>(SUM(D179:D184)-MIN(D179:D184)-MAX(D179:D184))/(COUNT(D179:D184)-2)</f>
        <v>1.0823135071948313</v>
      </c>
      <c r="E188" s="14">
        <f>(SUM(E179:E184)-MIN(E179:E184)-MAX(E179:E184))/(COUNT(E179:E184)-2)</f>
        <v>1.0548516341679572</v>
      </c>
      <c r="F188" s="14">
        <f>(SUM(F179:F184)-MIN(F179:F184)-MAX(F179:F184))/(COUNT(F179:F184)-2)</f>
        <v>1.0276588005775569</v>
      </c>
    </row>
    <row r="189" spans="2:9" ht="12.75">
      <c r="B189" s="21"/>
      <c r="C189" s="15"/>
      <c r="D189" s="15"/>
      <c r="E189" s="15"/>
      <c r="F189" s="15"/>
      <c r="G189" s="15"/>
      <c r="H189" s="15"/>
      <c r="I189" s="15"/>
    </row>
    <row r="190" spans="2:9" ht="12.75">
      <c r="B190" s="21" t="str">
        <f>B138</f>
        <v>Selected</v>
      </c>
      <c r="C190" s="55">
        <v>1.177</v>
      </c>
      <c r="D190" s="55">
        <v>1.084</v>
      </c>
      <c r="E190" s="55">
        <v>1.054</v>
      </c>
      <c r="F190" s="55">
        <v>1.027</v>
      </c>
      <c r="G190" s="55">
        <v>1.014</v>
      </c>
      <c r="H190" s="55">
        <v>1.002</v>
      </c>
      <c r="I190" s="73">
        <v>1.013</v>
      </c>
    </row>
    <row r="191" spans="2:9" ht="12.75">
      <c r="B191" s="21" t="str">
        <f>B139</f>
        <v>Age to Ult.</v>
      </c>
      <c r="C191" s="16">
        <f aca="true" t="shared" si="56" ref="C191:H191">C190*D191</f>
        <v>1.421451091789095</v>
      </c>
      <c r="D191" s="16">
        <f t="shared" si="56"/>
        <v>1.2076899675353399</v>
      </c>
      <c r="E191" s="16">
        <f t="shared" si="56"/>
        <v>1.114105136102712</v>
      </c>
      <c r="F191" s="16">
        <f t="shared" si="56"/>
        <v>1.057025745828</v>
      </c>
      <c r="G191" s="16">
        <f t="shared" si="56"/>
        <v>1.029236364</v>
      </c>
      <c r="H191" s="16">
        <f t="shared" si="56"/>
        <v>1.015026</v>
      </c>
      <c r="I191" s="20">
        <f>I190</f>
        <v>1.013</v>
      </c>
    </row>
    <row r="194" ht="12.75">
      <c r="B194" s="4"/>
    </row>
    <row r="195" spans="3:7" ht="12.75">
      <c r="C195" s="22"/>
      <c r="D195" s="22"/>
      <c r="E195" s="57" t="s">
        <v>28</v>
      </c>
      <c r="F195" s="57" t="s">
        <v>28</v>
      </c>
      <c r="G195" s="57" t="s">
        <v>28</v>
      </c>
    </row>
    <row r="196" spans="3:7" ht="12.75">
      <c r="C196" s="57" t="s">
        <v>42</v>
      </c>
      <c r="D196" s="22"/>
      <c r="E196" s="57" t="s">
        <v>29</v>
      </c>
      <c r="F196" s="57" t="s">
        <v>29</v>
      </c>
      <c r="G196" s="57" t="s">
        <v>29</v>
      </c>
    </row>
    <row r="197" spans="2:7" ht="12.75">
      <c r="B197" s="8" t="str">
        <f>B177</f>
        <v>Accident</v>
      </c>
      <c r="C197" s="57" t="s">
        <v>43</v>
      </c>
      <c r="D197" s="57" t="s">
        <v>26</v>
      </c>
      <c r="E197" s="57" t="s">
        <v>42</v>
      </c>
      <c r="F197" s="57" t="s">
        <v>44</v>
      </c>
      <c r="G197" s="57" t="s">
        <v>46</v>
      </c>
    </row>
    <row r="198" spans="2:7" ht="12.75">
      <c r="B198" s="9" t="str">
        <f>B178</f>
        <v>Year</v>
      </c>
      <c r="C198" s="56" t="str">
        <f>"at "&amp;TEXT(curreval,"m/d/yy")</f>
        <v>at 12/31/01</v>
      </c>
      <c r="D198" s="56" t="s">
        <v>27</v>
      </c>
      <c r="E198" s="56" t="s">
        <v>43</v>
      </c>
      <c r="F198" s="56" t="s">
        <v>45</v>
      </c>
      <c r="G198" s="74" t="s">
        <v>47</v>
      </c>
    </row>
    <row r="199" spans="2:7" ht="12.75">
      <c r="B199" s="8">
        <f aca="true" t="shared" si="57" ref="B199:B205">B167</f>
        <v>1995</v>
      </c>
      <c r="C199" s="1">
        <f aca="true" ca="1" t="shared" si="58" ref="C199:C205">OFFSET(C$173,-A202,A202)</f>
        <v>12533.333333333334</v>
      </c>
      <c r="D199" s="16">
        <f aca="true" ca="1" t="shared" si="59" ref="D199:D205">OFFSET(C$191,0,A202)</f>
        <v>1.013</v>
      </c>
      <c r="E199" s="1">
        <f aca="true" t="shared" si="60" ref="E199:E204">D199*C199</f>
        <v>12696.266666666666</v>
      </c>
      <c r="F199" s="2">
        <f aca="true" t="shared" si="61" ref="F199:F205">E147</f>
        <v>585</v>
      </c>
      <c r="G199" s="1">
        <f>F199*E199/1000</f>
        <v>7427.316</v>
      </c>
    </row>
    <row r="200" spans="2:7" ht="12.75">
      <c r="B200" s="8">
        <f t="shared" si="57"/>
        <v>1996</v>
      </c>
      <c r="C200" s="1">
        <f ca="1" t="shared" si="58"/>
        <v>12951.612903225807</v>
      </c>
      <c r="D200" s="16">
        <f ca="1" t="shared" si="59"/>
        <v>1.015026</v>
      </c>
      <c r="E200" s="1">
        <f t="shared" si="60"/>
        <v>13146.223838709677</v>
      </c>
      <c r="F200" s="2">
        <f t="shared" si="61"/>
        <v>682</v>
      </c>
      <c r="G200" s="1">
        <f aca="true" t="shared" si="62" ref="G200:G205">F200*E200/1000</f>
        <v>8965.724658</v>
      </c>
    </row>
    <row r="201" spans="2:7" ht="12.75">
      <c r="B201" s="8">
        <f t="shared" si="57"/>
        <v>1997</v>
      </c>
      <c r="C201" s="1">
        <f ca="1" t="shared" si="58"/>
        <v>12271.80783817952</v>
      </c>
      <c r="D201" s="16">
        <f ca="1" t="shared" si="59"/>
        <v>1.029236364</v>
      </c>
      <c r="E201" s="1">
        <f t="shared" si="60"/>
        <v>12630.590879074589</v>
      </c>
      <c r="F201" s="2">
        <f t="shared" si="61"/>
        <v>791</v>
      </c>
      <c r="G201" s="1">
        <f t="shared" si="62"/>
        <v>9990.797385348</v>
      </c>
    </row>
    <row r="202" spans="1:7" ht="12.75">
      <c r="A202" s="29">
        <f aca="true" t="shared" si="63" ref="A202:A207">A203+1</f>
        <v>6</v>
      </c>
      <c r="B202" s="8">
        <f t="shared" si="57"/>
        <v>1998</v>
      </c>
      <c r="C202" s="1">
        <f ca="1" t="shared" si="58"/>
        <v>13311.438278595697</v>
      </c>
      <c r="D202" s="16">
        <f ca="1" t="shared" si="59"/>
        <v>1.057025745828</v>
      </c>
      <c r="E202" s="1">
        <f t="shared" si="60"/>
        <v>14070.532974476004</v>
      </c>
      <c r="F202" s="2">
        <f t="shared" si="61"/>
        <v>885.6489999999999</v>
      </c>
      <c r="G202" s="1">
        <f t="shared" si="62"/>
        <v>12461.553458311697</v>
      </c>
    </row>
    <row r="203" spans="1:7" ht="12.75">
      <c r="A203" s="29">
        <f t="shared" si="63"/>
        <v>5</v>
      </c>
      <c r="B203" s="8">
        <f t="shared" si="57"/>
        <v>1999</v>
      </c>
      <c r="C203" s="1">
        <f ca="1" t="shared" si="58"/>
        <v>13872.427983539093</v>
      </c>
      <c r="D203" s="16">
        <f ca="1" t="shared" si="59"/>
        <v>1.114105136102712</v>
      </c>
      <c r="E203" s="1">
        <f t="shared" si="60"/>
        <v>15455.34326667589</v>
      </c>
      <c r="F203" s="2">
        <f t="shared" si="61"/>
        <v>984.6651599999999</v>
      </c>
      <c r="G203" s="1">
        <f t="shared" si="62"/>
        <v>15218.338050536337</v>
      </c>
    </row>
    <row r="204" spans="1:7" ht="12.75">
      <c r="A204" s="29">
        <f t="shared" si="63"/>
        <v>4</v>
      </c>
      <c r="B204" s="8">
        <f t="shared" si="57"/>
        <v>2000</v>
      </c>
      <c r="C204" s="1">
        <f ca="1" t="shared" si="58"/>
        <v>14220.212765957447</v>
      </c>
      <c r="D204" s="16">
        <f ca="1" t="shared" si="59"/>
        <v>1.2076899675353399</v>
      </c>
      <c r="E204" s="1">
        <f t="shared" si="60"/>
        <v>17173.608293664776</v>
      </c>
      <c r="F204" s="2">
        <f t="shared" si="61"/>
        <v>1000.8128581999997</v>
      </c>
      <c r="G204" s="90" t="s">
        <v>149</v>
      </c>
    </row>
    <row r="205" spans="1:7" ht="12.75">
      <c r="A205" s="29">
        <f t="shared" si="63"/>
        <v>3</v>
      </c>
      <c r="B205" s="8">
        <f t="shared" si="57"/>
        <v>2001</v>
      </c>
      <c r="C205" s="1">
        <f ca="1" t="shared" si="58"/>
        <v>12299.46524064171</v>
      </c>
      <c r="D205" s="16">
        <f ca="1" t="shared" si="59"/>
        <v>1.421451091789095</v>
      </c>
      <c r="E205" s="1">
        <f>C191*C205</f>
        <v>17483.088294732184</v>
      </c>
      <c r="F205" s="2">
        <f t="shared" si="61"/>
        <v>1192.5962838888997</v>
      </c>
      <c r="G205" s="1">
        <f t="shared" si="62"/>
        <v>20850.266131199125</v>
      </c>
    </row>
    <row r="206" spans="1:7" ht="12.75">
      <c r="A206" s="29">
        <f t="shared" si="63"/>
        <v>2</v>
      </c>
      <c r="G206" s="90"/>
    </row>
    <row r="207" spans="1:8" ht="12.75">
      <c r="A207" s="29">
        <f t="shared" si="63"/>
        <v>1</v>
      </c>
      <c r="B207" s="18" t="str">
        <f>B155</f>
        <v>Total</v>
      </c>
      <c r="C207" s="2">
        <f>SUM(C199:C206)</f>
        <v>91460.2983434726</v>
      </c>
      <c r="E207" s="2">
        <f>SUM(E199:E206)</f>
        <v>102655.65421399978</v>
      </c>
      <c r="F207" s="2">
        <f>SUM(F199:F206)</f>
        <v>6121.7233020889</v>
      </c>
      <c r="G207" s="1">
        <f>SUMPRODUCT(E199:E205,F199:F205)/1000</f>
        <v>92101.56368538502</v>
      </c>
      <c r="H207" s="2"/>
    </row>
    <row r="208" ht="12.75">
      <c r="A208" s="30">
        <f>A156</f>
        <v>0</v>
      </c>
    </row>
    <row r="212" ht="12.75">
      <c r="B212" t="str">
        <f>title1</f>
        <v>Monstertruck Mutual</v>
      </c>
    </row>
    <row r="213" ht="12.75">
      <c r="B213" t="str">
        <f>line</f>
        <v>Commercial Automobile Liability</v>
      </c>
    </row>
    <row r="214" ht="12.75">
      <c r="B214" s="22" t="s">
        <v>132</v>
      </c>
    </row>
    <row r="217" ht="12.75">
      <c r="C217" s="22" t="s">
        <v>133</v>
      </c>
    </row>
    <row r="218" spans="2:3" ht="12.75">
      <c r="B218" s="57" t="s">
        <v>0</v>
      </c>
      <c r="C218" s="22"/>
    </row>
    <row r="219" spans="2:9" ht="12.75">
      <c r="B219" s="56" t="s">
        <v>1</v>
      </c>
      <c r="C219" s="56">
        <v>12</v>
      </c>
      <c r="D219" s="9">
        <f aca="true" t="shared" si="64" ref="D219:I219">C219+12</f>
        <v>24</v>
      </c>
      <c r="E219" s="9">
        <f t="shared" si="64"/>
        <v>36</v>
      </c>
      <c r="F219" s="9">
        <f t="shared" si="64"/>
        <v>48</v>
      </c>
      <c r="G219" s="9">
        <f t="shared" si="64"/>
        <v>60</v>
      </c>
      <c r="H219" s="9">
        <f t="shared" si="64"/>
        <v>72</v>
      </c>
      <c r="I219" s="9">
        <f t="shared" si="64"/>
        <v>84</v>
      </c>
    </row>
    <row r="220" spans="2:9" ht="12.75">
      <c r="B220" s="8">
        <f aca="true" t="shared" si="65" ref="B220:B225">B221-1</f>
        <v>1995</v>
      </c>
      <c r="C220" s="35">
        <v>0.1709</v>
      </c>
      <c r="D220" s="35">
        <v>0.1336</v>
      </c>
      <c r="E220" s="35">
        <v>0.135</v>
      </c>
      <c r="F220" s="35">
        <v>0.1405</v>
      </c>
      <c r="G220" s="35">
        <v>0.144</v>
      </c>
      <c r="H220" s="35">
        <v>0.1462</v>
      </c>
      <c r="I220" s="35">
        <v>0.1472</v>
      </c>
    </row>
    <row r="221" spans="2:9" ht="12.75">
      <c r="B221" s="8">
        <f t="shared" si="65"/>
        <v>1996</v>
      </c>
      <c r="C221" s="35">
        <v>0.1728</v>
      </c>
      <c r="D221" s="35">
        <v>0.1355</v>
      </c>
      <c r="E221" s="35">
        <v>0.1366</v>
      </c>
      <c r="F221" s="35">
        <v>0.1413</v>
      </c>
      <c r="G221" s="35">
        <v>0.1439</v>
      </c>
      <c r="H221" s="35">
        <v>0.1462</v>
      </c>
      <c r="I221" s="35">
        <f aca="true" t="shared" si="66" ref="I221:I226">IF(OR(I168=0,I168="",I63=""),"",I63/I168*1000)</f>
      </c>
    </row>
    <row r="222" spans="2:9" ht="12.75">
      <c r="B222" s="8">
        <f t="shared" si="65"/>
        <v>1997</v>
      </c>
      <c r="C222" s="35">
        <v>0.1715</v>
      </c>
      <c r="D222" s="35">
        <v>0.1351</v>
      </c>
      <c r="E222" s="36">
        <v>0.1373</v>
      </c>
      <c r="F222" s="35">
        <v>0.1433</v>
      </c>
      <c r="G222" s="35">
        <v>0.1478</v>
      </c>
      <c r="H222" s="35">
        <f>IF(OR(H169=0,H169="",H64=""),"",H64/H169*1000)</f>
      </c>
      <c r="I222" s="35">
        <f t="shared" si="66"/>
      </c>
    </row>
    <row r="223" spans="2:9" ht="12.75">
      <c r="B223" s="8">
        <f t="shared" si="65"/>
        <v>1998</v>
      </c>
      <c r="C223" s="35">
        <v>0.1766</v>
      </c>
      <c r="D223" s="35">
        <v>0.1369</v>
      </c>
      <c r="E223" s="35">
        <v>0.1388</v>
      </c>
      <c r="F223" s="35">
        <v>0.1447</v>
      </c>
      <c r="G223" s="35">
        <f>IF(OR(G170=0,G170="",G65=""),"",G65/G170*1000)</f>
      </c>
      <c r="H223" s="35">
        <f>IF(OR(H170=0,H170="",H65=""),"",H65/H170*1000)</f>
      </c>
      <c r="I223" s="35">
        <f t="shared" si="66"/>
      </c>
    </row>
    <row r="224" spans="2:9" ht="12.75">
      <c r="B224" s="8">
        <f t="shared" si="65"/>
        <v>1999</v>
      </c>
      <c r="C224" s="35">
        <v>0.1813</v>
      </c>
      <c r="D224" s="93" t="s">
        <v>150</v>
      </c>
      <c r="E224" s="35">
        <v>0.1437</v>
      </c>
      <c r="F224" s="35">
        <f>IF(OR(F171=0,F171="",F66=""),"",F66/F171*1000)</f>
      </c>
      <c r="G224" s="35">
        <f>IF(OR(G171=0,G171="",G66=""),"",G66/G171*1000)</f>
      </c>
      <c r="H224" s="35">
        <f>IF(OR(H171=0,H171="",H66=""),"",H66/H171*1000)</f>
      </c>
      <c r="I224" s="35">
        <f t="shared" si="66"/>
      </c>
    </row>
    <row r="225" spans="2:9" ht="12.75">
      <c r="B225" s="8">
        <f t="shared" si="65"/>
        <v>2000</v>
      </c>
      <c r="C225" s="35">
        <v>0.1873</v>
      </c>
      <c r="D225" s="35">
        <v>0.144</v>
      </c>
      <c r="E225" s="35">
        <f>IF(OR(G206=0,G206="",E67=""),"",E67/G206*1000)</f>
      </c>
      <c r="F225" s="35">
        <f>IF(OR(F172=0,F172="",F67=""),"",F67/F172*1000)</f>
      </c>
      <c r="G225" s="35">
        <f>IF(OR(G172=0,G172="",G67=""),"",G67/G172*1000)</f>
      </c>
      <c r="H225" s="35">
        <f>IF(OR(H172=0,H172="",H67=""),"",H67/H172*1000)</f>
      </c>
      <c r="I225" s="35">
        <f t="shared" si="66"/>
      </c>
    </row>
    <row r="226" spans="2:11" ht="12.75">
      <c r="B226" s="57">
        <f>B16</f>
        <v>2001</v>
      </c>
      <c r="C226" s="35">
        <v>0.1925</v>
      </c>
      <c r="D226" s="35">
        <f>IF(OR(D173=0,D173="",D68=""),"",D68/D173*1000)</f>
      </c>
      <c r="E226" s="35">
        <f>IF(OR(E173=0,E173="",E68=""),"",E68/E173*1000)</f>
      </c>
      <c r="F226" s="35">
        <f>IF(OR(F173=0,F173="",F68=""),"",F68/F173*1000)</f>
      </c>
      <c r="G226" s="35">
        <f>IF(OR(G173=0,G173="",G68=""),"",G68/G173*1000)</f>
      </c>
      <c r="H226" s="35">
        <f>IF(OR(H173=0,H173="",H68=""),"",H68/H173*1000)</f>
      </c>
      <c r="I226" s="35">
        <f t="shared" si="66"/>
      </c>
      <c r="K226" s="35"/>
    </row>
    <row r="229" ht="12.75">
      <c r="C229" s="22" t="s">
        <v>134</v>
      </c>
    </row>
    <row r="230" ht="12.75">
      <c r="B230" s="8" t="str">
        <f aca="true" t="shared" si="67" ref="B230:B237">B218</f>
        <v>Accident</v>
      </c>
    </row>
    <row r="231" spans="2:9" ht="12.75">
      <c r="B231" s="9" t="str">
        <f t="shared" si="67"/>
        <v>Year</v>
      </c>
      <c r="C231" s="9" t="str">
        <f aca="true" t="shared" si="68" ref="C231:H231">C219&amp;" - "&amp;D219</f>
        <v>12 - 24</v>
      </c>
      <c r="D231" s="9" t="str">
        <f t="shared" si="68"/>
        <v>24 - 36</v>
      </c>
      <c r="E231" s="9" t="str">
        <f t="shared" si="68"/>
        <v>36 - 48</v>
      </c>
      <c r="F231" s="9" t="str">
        <f t="shared" si="68"/>
        <v>48 - 60</v>
      </c>
      <c r="G231" s="9" t="str">
        <f t="shared" si="68"/>
        <v>60 - 72</v>
      </c>
      <c r="H231" s="9" t="str">
        <f t="shared" si="68"/>
        <v>72 - 84</v>
      </c>
      <c r="I231" s="9" t="str">
        <f>I219&amp;" - ULT"</f>
        <v>84 - ULT</v>
      </c>
    </row>
    <row r="232" spans="2:9" ht="12.75">
      <c r="B232" s="8">
        <f t="shared" si="67"/>
        <v>1995</v>
      </c>
      <c r="C232" s="12">
        <f aca="true" t="shared" si="69" ref="C232:H235">IF(OR(C220=0,D220=""),"",D220/C220)</f>
        <v>0.7817437097717964</v>
      </c>
      <c r="D232" s="12">
        <f t="shared" si="69"/>
        <v>1.0104790419161678</v>
      </c>
      <c r="E232" s="12">
        <f t="shared" si="69"/>
        <v>1.0407407407407407</v>
      </c>
      <c r="F232" s="12">
        <f t="shared" si="69"/>
        <v>1.0249110320284696</v>
      </c>
      <c r="G232" s="12">
        <f t="shared" si="69"/>
        <v>1.0152777777777777</v>
      </c>
      <c r="H232" s="12">
        <f t="shared" si="69"/>
        <v>1.0068399452804377</v>
      </c>
      <c r="I232" s="12"/>
    </row>
    <row r="233" spans="2:9" ht="12.75">
      <c r="B233" s="8">
        <f t="shared" si="67"/>
        <v>1996</v>
      </c>
      <c r="C233" s="13">
        <f t="shared" si="69"/>
        <v>0.7841435185185185</v>
      </c>
      <c r="D233" s="13">
        <f t="shared" si="69"/>
        <v>1.0081180811808117</v>
      </c>
      <c r="E233" s="13">
        <f t="shared" si="69"/>
        <v>1.034407027818448</v>
      </c>
      <c r="F233" s="13">
        <f t="shared" si="69"/>
        <v>1.0184005661712667</v>
      </c>
      <c r="G233" s="13">
        <f t="shared" si="69"/>
        <v>1.0159833217512162</v>
      </c>
      <c r="H233" s="13">
        <f t="shared" si="69"/>
      </c>
      <c r="I233" s="13"/>
    </row>
    <row r="234" spans="2:9" ht="12.75">
      <c r="B234" s="8">
        <f t="shared" si="67"/>
        <v>1997</v>
      </c>
      <c r="C234" s="13">
        <f t="shared" si="69"/>
        <v>0.7877551020408162</v>
      </c>
      <c r="D234" s="13">
        <f t="shared" si="69"/>
        <v>1.0162842339008142</v>
      </c>
      <c r="E234" s="13">
        <f t="shared" si="69"/>
        <v>1.0436999271667882</v>
      </c>
      <c r="F234" s="13">
        <f t="shared" si="69"/>
        <v>1.0314026517794834</v>
      </c>
      <c r="G234" s="13">
        <f t="shared" si="69"/>
      </c>
      <c r="H234" s="13">
        <f t="shared" si="69"/>
      </c>
      <c r="I234" s="13"/>
    </row>
    <row r="235" spans="2:9" ht="12.75">
      <c r="B235" s="8">
        <f t="shared" si="67"/>
        <v>1998</v>
      </c>
      <c r="C235" s="13">
        <f t="shared" si="69"/>
        <v>0.7751981879954699</v>
      </c>
      <c r="D235" s="13">
        <f t="shared" si="69"/>
        <v>1.0138787436084735</v>
      </c>
      <c r="E235" s="13">
        <f t="shared" si="69"/>
        <v>1.042507204610951</v>
      </c>
      <c r="F235" s="13">
        <f t="shared" si="69"/>
      </c>
      <c r="G235" s="13">
        <f t="shared" si="69"/>
      </c>
      <c r="H235" s="13">
        <f t="shared" si="69"/>
      </c>
      <c r="I235" s="13"/>
    </row>
    <row r="236" spans="2:9" ht="12.75">
      <c r="B236" s="8">
        <f t="shared" si="67"/>
        <v>1999</v>
      </c>
      <c r="C236" s="63">
        <f>IF(OR(C224=0,D224=""),"",0.142/C224)</f>
        <v>0.7832322118036403</v>
      </c>
      <c r="D236" s="63">
        <f>IF(OR(D224=0,E224=""),"",E224/0.142)</f>
        <v>1.0119718309859156</v>
      </c>
      <c r="E236" s="13">
        <f aca="true" t="shared" si="70" ref="E236:H237">IF(OR(E224=0,F224=""),"",F224/E224)</f>
      </c>
      <c r="F236" s="13">
        <f t="shared" si="70"/>
      </c>
      <c r="G236" s="13">
        <f t="shared" si="70"/>
      </c>
      <c r="H236" s="13">
        <f t="shared" si="70"/>
      </c>
      <c r="I236" s="13"/>
    </row>
    <row r="237" spans="2:9" ht="12.75">
      <c r="B237" s="8">
        <f t="shared" si="67"/>
        <v>2000</v>
      </c>
      <c r="C237" s="13">
        <f>IF(OR(C225=0,D225=""),"",D225/C225)</f>
        <v>0.7688200747463961</v>
      </c>
      <c r="D237" s="13">
        <f>IF(OR(D225=0,E225=""),"",E225/D225)</f>
      </c>
      <c r="E237" s="13">
        <f t="shared" si="70"/>
      </c>
      <c r="F237" s="13">
        <f t="shared" si="70"/>
      </c>
      <c r="G237" s="13">
        <f t="shared" si="70"/>
      </c>
      <c r="H237" s="13">
        <f t="shared" si="70"/>
      </c>
      <c r="I237" s="13"/>
    </row>
    <row r="238" ht="12.75">
      <c r="B238" s="8"/>
    </row>
    <row r="239" spans="2:8" ht="12.75">
      <c r="B239" s="21" t="str">
        <f>B186</f>
        <v>All Yr. Avg</v>
      </c>
      <c r="C239" s="14">
        <f aca="true" t="shared" si="71" ref="C239:H239">AVERAGE(C232:C237)</f>
        <v>0.7801488008127729</v>
      </c>
      <c r="D239" s="14">
        <f t="shared" si="71"/>
        <v>1.0121463863184366</v>
      </c>
      <c r="E239" s="14">
        <f t="shared" si="71"/>
        <v>1.040338725084232</v>
      </c>
      <c r="F239" s="14">
        <f t="shared" si="71"/>
        <v>1.0249047499930732</v>
      </c>
      <c r="G239" s="14">
        <f t="shared" si="71"/>
        <v>1.0156305497644968</v>
      </c>
      <c r="H239" s="14">
        <f t="shared" si="71"/>
        <v>1.0068399452804377</v>
      </c>
    </row>
    <row r="240" spans="2:6" ht="12.75">
      <c r="B240" s="21" t="str">
        <f>B187</f>
        <v>Latest 3 Yr Avg</v>
      </c>
      <c r="C240" s="14">
        <f>AVERAGE(C235:C237)</f>
        <v>0.7757501581818355</v>
      </c>
      <c r="D240" s="14">
        <f>AVERAGE(D234:D236)</f>
        <v>1.0140449361650676</v>
      </c>
      <c r="E240" s="14">
        <f>AVERAGE(E233:E235)</f>
        <v>1.0402047198653956</v>
      </c>
      <c r="F240" s="14">
        <f>AVERAGE(F232:F234)</f>
        <v>1.0249047499930732</v>
      </c>
    </row>
    <row r="241" spans="2:6" ht="12.75">
      <c r="B241" s="21" t="str">
        <f>B188</f>
        <v>X High/Low</v>
      </c>
      <c r="C241" s="14">
        <f>(SUM(C232:C237)-MIN(C232:C237)-MAX(C232:C237))/(COUNT(C232:C237)-2)</f>
        <v>0.7810794070223563</v>
      </c>
      <c r="D241" s="14">
        <f>(SUM(D232:D237)-MIN(D232:D237)-MAX(D232:D237))/(COUNT(D232:D237)-2)</f>
        <v>1.0121098721701856</v>
      </c>
      <c r="E241" s="14">
        <f>(SUM(E232:E237)-MIN(E232:E237)-MAX(E232:E237))/(COUNT(E232:E237)-2)</f>
        <v>1.041623972675846</v>
      </c>
      <c r="F241" s="14">
        <f>(SUM(F232:F237)-MIN(F232:F237)-MAX(F232:F237))/(COUNT(F232:F237)-2)</f>
        <v>1.0249110320284693</v>
      </c>
    </row>
    <row r="242" spans="2:9" ht="12.75">
      <c r="B242" s="21"/>
      <c r="C242" s="15"/>
      <c r="D242" s="15"/>
      <c r="E242" s="15"/>
      <c r="F242" s="15"/>
      <c r="G242" s="15"/>
      <c r="H242" s="15"/>
      <c r="I242" s="15"/>
    </row>
    <row r="243" spans="2:9" ht="12.75">
      <c r="B243" s="21" t="str">
        <f>B190</f>
        <v>Selected</v>
      </c>
      <c r="C243" s="55">
        <v>0.776</v>
      </c>
      <c r="D243" s="55">
        <v>1.014</v>
      </c>
      <c r="E243" s="55">
        <v>1.04</v>
      </c>
      <c r="F243" s="55">
        <v>1.025</v>
      </c>
      <c r="G243" s="55">
        <v>1.016</v>
      </c>
      <c r="H243" s="55">
        <v>1.007</v>
      </c>
      <c r="I243" s="73">
        <v>1.01</v>
      </c>
    </row>
    <row r="244" spans="2:9" ht="12.75">
      <c r="B244" s="21" t="str">
        <f>B191</f>
        <v>Age to Ult.</v>
      </c>
      <c r="C244" s="16">
        <f aca="true" t="shared" si="72" ref="C244:H244">C243*D244</f>
        <v>0.8667651338268748</v>
      </c>
      <c r="D244" s="16">
        <f t="shared" si="72"/>
        <v>1.11696537864288</v>
      </c>
      <c r="E244" s="16">
        <f t="shared" si="72"/>
        <v>1.1015437659199998</v>
      </c>
      <c r="F244" s="16">
        <f t="shared" si="72"/>
        <v>1.0591766979999997</v>
      </c>
      <c r="G244" s="16">
        <f t="shared" si="72"/>
        <v>1.0333431199999998</v>
      </c>
      <c r="H244" s="16">
        <f t="shared" si="72"/>
        <v>1.01707</v>
      </c>
      <c r="I244" s="20">
        <f>I243</f>
        <v>1.01</v>
      </c>
    </row>
    <row r="247" ht="12.75">
      <c r="B247" s="4"/>
    </row>
    <row r="248" spans="3:7" ht="12.75">
      <c r="C248" s="22"/>
      <c r="D248" s="22"/>
      <c r="E248" s="57" t="s">
        <v>28</v>
      </c>
      <c r="F248" s="11"/>
      <c r="G248" s="11"/>
    </row>
    <row r="249" spans="3:7" ht="12.75">
      <c r="C249" s="57" t="s">
        <v>135</v>
      </c>
      <c r="D249" s="22"/>
      <c r="E249" s="57" t="s">
        <v>29</v>
      </c>
      <c r="F249" s="11"/>
      <c r="G249" s="11"/>
    </row>
    <row r="250" spans="2:7" ht="12.75">
      <c r="B250" s="8" t="str">
        <f>B230</f>
        <v>Accident</v>
      </c>
      <c r="C250" s="57" t="s">
        <v>63</v>
      </c>
      <c r="D250" s="57" t="s">
        <v>26</v>
      </c>
      <c r="E250" s="57" t="s">
        <v>136</v>
      </c>
      <c r="F250" s="11"/>
      <c r="G250" s="11"/>
    </row>
    <row r="251" spans="2:7" ht="12.75">
      <c r="B251" s="9" t="str">
        <f>B231</f>
        <v>Year</v>
      </c>
      <c r="C251" s="56" t="str">
        <f>"at "&amp;TEXT(curreval,"m/d/yy")</f>
        <v>at 12/31/01</v>
      </c>
      <c r="D251" s="56" t="s">
        <v>27</v>
      </c>
      <c r="E251" s="56" t="s">
        <v>63</v>
      </c>
      <c r="F251" s="37"/>
      <c r="G251" s="38"/>
    </row>
    <row r="252" spans="2:7" ht="12.75">
      <c r="B252" s="8">
        <f aca="true" t="shared" si="73" ref="B252:B258">B220</f>
        <v>1995</v>
      </c>
      <c r="C252" s="39">
        <f aca="true" ca="1" t="shared" si="74" ref="C252:C258">OFFSET(C$226,-A254,A254)</f>
        <v>0.1472</v>
      </c>
      <c r="D252" s="16">
        <f aca="true" ca="1" t="shared" si="75" ref="D252:D258">OFFSET(C$244,0,A254)</f>
        <v>1.01</v>
      </c>
      <c r="E252" s="39">
        <f aca="true" t="shared" si="76" ref="E252:E257">D252*C252</f>
        <v>0.148672</v>
      </c>
      <c r="F252" s="2"/>
      <c r="G252" s="1"/>
    </row>
    <row r="253" spans="2:7" ht="12.75">
      <c r="B253" s="8">
        <f t="shared" si="73"/>
        <v>1996</v>
      </c>
      <c r="C253" s="39">
        <f ca="1" t="shared" si="74"/>
        <v>0.1462</v>
      </c>
      <c r="D253" s="16">
        <f ca="1" t="shared" si="75"/>
        <v>1.01707</v>
      </c>
      <c r="E253" s="39">
        <f t="shared" si="76"/>
        <v>0.148695634</v>
      </c>
      <c r="F253" s="2"/>
      <c r="G253" s="1"/>
    </row>
    <row r="254" spans="1:7" ht="12.75">
      <c r="A254" s="29">
        <f aca="true" t="shared" si="77" ref="A254:A259">A255+1</f>
        <v>6</v>
      </c>
      <c r="B254" s="8">
        <f t="shared" si="73"/>
        <v>1997</v>
      </c>
      <c r="C254" s="39">
        <f ca="1" t="shared" si="74"/>
        <v>0.1478</v>
      </c>
      <c r="D254" s="16">
        <f ca="1" t="shared" si="75"/>
        <v>1.0333431199999998</v>
      </c>
      <c r="E254" s="39">
        <f t="shared" si="76"/>
        <v>0.15272811313599996</v>
      </c>
      <c r="F254" s="2"/>
      <c r="G254" s="1"/>
    </row>
    <row r="255" spans="1:7" ht="12.75">
      <c r="A255" s="29">
        <f t="shared" si="77"/>
        <v>5</v>
      </c>
      <c r="B255" s="8">
        <f t="shared" si="73"/>
        <v>1998</v>
      </c>
      <c r="C255" s="39">
        <f ca="1" t="shared" si="74"/>
        <v>0.1447</v>
      </c>
      <c r="D255" s="16">
        <f ca="1" t="shared" si="75"/>
        <v>1.0591766979999997</v>
      </c>
      <c r="E255" s="39">
        <f t="shared" si="76"/>
        <v>0.15326286820059995</v>
      </c>
      <c r="F255" s="2"/>
      <c r="G255" s="1"/>
    </row>
    <row r="256" spans="1:7" ht="12.75">
      <c r="A256" s="29">
        <f t="shared" si="77"/>
        <v>4</v>
      </c>
      <c r="B256" s="8">
        <f t="shared" si="73"/>
        <v>1999</v>
      </c>
      <c r="C256" s="39">
        <f ca="1" t="shared" si="74"/>
        <v>0.1437</v>
      </c>
      <c r="D256" s="16">
        <f ca="1" t="shared" si="75"/>
        <v>1.1015437659199998</v>
      </c>
      <c r="E256" s="39">
        <f t="shared" si="76"/>
        <v>0.15829183916270398</v>
      </c>
      <c r="F256" s="2"/>
      <c r="G256" s="1"/>
    </row>
    <row r="257" spans="1:7" ht="12.75">
      <c r="A257" s="29">
        <f t="shared" si="77"/>
        <v>3</v>
      </c>
      <c r="B257" s="8">
        <f t="shared" si="73"/>
        <v>2000</v>
      </c>
      <c r="C257" s="39">
        <f ca="1" t="shared" si="74"/>
        <v>0.144</v>
      </c>
      <c r="D257" s="16">
        <f ca="1" t="shared" si="75"/>
        <v>1.11696537864288</v>
      </c>
      <c r="E257" s="39">
        <f t="shared" si="76"/>
        <v>0.1608430145245747</v>
      </c>
      <c r="F257" s="2"/>
      <c r="G257" s="19"/>
    </row>
    <row r="258" spans="1:7" ht="12.75">
      <c r="A258" s="29">
        <f t="shared" si="77"/>
        <v>2</v>
      </c>
      <c r="B258" s="8">
        <f t="shared" si="73"/>
        <v>2001</v>
      </c>
      <c r="C258" s="39">
        <f ca="1" t="shared" si="74"/>
        <v>0.1925</v>
      </c>
      <c r="D258" s="16">
        <f ca="1" t="shared" si="75"/>
        <v>0.8667651338268748</v>
      </c>
      <c r="E258" s="93" t="s">
        <v>151</v>
      </c>
      <c r="F258" s="2"/>
      <c r="G258" s="1"/>
    </row>
    <row r="259" ht="12.75">
      <c r="A259" s="29">
        <f t="shared" si="77"/>
        <v>1</v>
      </c>
    </row>
    <row r="260" ht="12.75">
      <c r="A260" s="30">
        <f>A208</f>
        <v>0</v>
      </c>
    </row>
    <row r="266" spans="2:8" ht="12.75">
      <c r="B266" s="18"/>
      <c r="C266" s="2"/>
      <c r="E266" s="2"/>
      <c r="F266" s="2"/>
      <c r="G266" s="1"/>
      <c r="H266" s="2"/>
    </row>
  </sheetData>
  <printOptions horizontalCentered="1"/>
  <pageMargins left="0.25" right="0.25" top="0.5" bottom="0.5" header="0.25" footer="0.25"/>
  <pageSetup blackAndWhite="1"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207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13.7109375" style="0" customWidth="1"/>
    <col min="3" max="3" width="10.421875" style="0" bestFit="1" customWidth="1"/>
    <col min="4" max="4" width="9.28125" style="0" customWidth="1"/>
    <col min="5" max="5" width="10.28125" style="0" bestFit="1" customWidth="1"/>
    <col min="6" max="9" width="9.28125" style="0" customWidth="1"/>
    <col min="16" max="17" width="8.8515625" style="0" bestFit="1" customWidth="1"/>
    <col min="24" max="30" width="13.140625" style="0" customWidth="1"/>
  </cols>
  <sheetData>
    <row r="4" ht="12.75">
      <c r="B4" t="str">
        <f>title1</f>
        <v>Monstertruck Mutual</v>
      </c>
    </row>
    <row r="5" ht="12.75">
      <c r="B5" t="str">
        <f>line&amp;" - Variant Case"</f>
        <v>Commercial Automobile Liability - Variant Case</v>
      </c>
    </row>
    <row r="7" ht="12.75">
      <c r="C7" s="22" t="s">
        <v>13</v>
      </c>
    </row>
    <row r="8" spans="2:3" ht="12.75">
      <c r="B8" s="57" t="s">
        <v>0</v>
      </c>
      <c r="C8" s="22"/>
    </row>
    <row r="9" spans="2:9" ht="12.75">
      <c r="B9" s="56" t="s">
        <v>1</v>
      </c>
      <c r="C9" s="56">
        <v>12</v>
      </c>
      <c r="D9" s="9">
        <f aca="true" t="shared" si="0" ref="D9:I9">C9+12</f>
        <v>24</v>
      </c>
      <c r="E9" s="9">
        <f t="shared" si="0"/>
        <v>36</v>
      </c>
      <c r="F9" s="9">
        <f t="shared" si="0"/>
        <v>48</v>
      </c>
      <c r="G9" s="9">
        <f t="shared" si="0"/>
        <v>60</v>
      </c>
      <c r="H9" s="9">
        <f t="shared" si="0"/>
        <v>72</v>
      </c>
      <c r="I9" s="9">
        <f t="shared" si="0"/>
        <v>84</v>
      </c>
    </row>
    <row r="10" spans="2:31" ht="12.75">
      <c r="B10" s="8">
        <f aca="true" t="shared" si="1" ref="B10:B15">B11-1</f>
        <v>1995</v>
      </c>
      <c r="C10" s="23">
        <v>4392</v>
      </c>
      <c r="D10" s="23">
        <v>5819</v>
      </c>
      <c r="E10" s="23">
        <v>6553</v>
      </c>
      <c r="F10" s="23">
        <v>6979</v>
      </c>
      <c r="G10" s="23">
        <v>7209</v>
      </c>
      <c r="H10" s="23">
        <v>7317</v>
      </c>
      <c r="I10" s="23">
        <v>7332</v>
      </c>
      <c r="AE10" s="8"/>
    </row>
    <row r="11" spans="2:31" ht="12.75">
      <c r="B11" s="8">
        <f t="shared" si="1"/>
        <v>1996</v>
      </c>
      <c r="C11" s="23">
        <v>5117</v>
      </c>
      <c r="D11" s="23">
        <v>6913</v>
      </c>
      <c r="E11" s="23">
        <v>7950</v>
      </c>
      <c r="F11" s="23">
        <v>8399</v>
      </c>
      <c r="G11" s="23">
        <v>8728</v>
      </c>
      <c r="H11" s="23">
        <v>9020</v>
      </c>
      <c r="I11" s="23"/>
      <c r="AE11" s="25"/>
    </row>
    <row r="12" spans="2:31" ht="12.75">
      <c r="B12" s="8">
        <f t="shared" si="1"/>
        <v>1997</v>
      </c>
      <c r="C12" s="23">
        <v>5833</v>
      </c>
      <c r="D12" s="23">
        <v>7799</v>
      </c>
      <c r="E12" s="23">
        <v>8883</v>
      </c>
      <c r="F12" s="23">
        <v>9339</v>
      </c>
      <c r="G12" s="23">
        <v>9817</v>
      </c>
      <c r="H12" s="23"/>
      <c r="I12" s="23"/>
      <c r="AE12" s="27"/>
    </row>
    <row r="13" spans="2:31" ht="12.75">
      <c r="B13" s="8">
        <f t="shared" si="1"/>
        <v>1998</v>
      </c>
      <c r="C13" s="23">
        <v>6912</v>
      </c>
      <c r="D13" s="23">
        <v>9732</v>
      </c>
      <c r="E13" s="23">
        <v>11036</v>
      </c>
      <c r="F13" s="23">
        <v>12024</v>
      </c>
      <c r="G13" s="23"/>
      <c r="H13" s="23"/>
      <c r="I13" s="23"/>
      <c r="M13" t="str">
        <f>title1</f>
        <v>Monstertruck Mutual</v>
      </c>
      <c r="AE13" s="2"/>
    </row>
    <row r="14" spans="2:13" ht="12.75">
      <c r="B14" s="8">
        <f t="shared" si="1"/>
        <v>1999</v>
      </c>
      <c r="C14" s="23">
        <v>8225</v>
      </c>
      <c r="D14" s="23">
        <v>11787</v>
      </c>
      <c r="E14" s="23">
        <v>14042</v>
      </c>
      <c r="F14" s="23"/>
      <c r="G14" s="23"/>
      <c r="H14" s="23"/>
      <c r="I14" s="23"/>
      <c r="M14" t="str">
        <f>line&amp;" - Variant Case"</f>
        <v>Commercial Automobile Liability - Variant Case</v>
      </c>
    </row>
    <row r="15" spans="2:9" ht="12.75">
      <c r="B15" s="8">
        <f t="shared" si="1"/>
        <v>2000</v>
      </c>
      <c r="C15" s="23">
        <v>8980</v>
      </c>
      <c r="D15" s="23">
        <v>14107</v>
      </c>
      <c r="E15" s="23"/>
      <c r="F15" s="23"/>
      <c r="G15" s="23"/>
      <c r="H15" s="23"/>
      <c r="I15" s="23"/>
    </row>
    <row r="16" spans="2:13" ht="12.75">
      <c r="B16" s="57">
        <f>curryr</f>
        <v>2001</v>
      </c>
      <c r="C16" s="23">
        <v>13181</v>
      </c>
      <c r="D16" s="23"/>
      <c r="E16" s="23"/>
      <c r="F16" s="23"/>
      <c r="G16" s="23"/>
      <c r="H16" s="23"/>
      <c r="I16" s="23"/>
      <c r="M16" s="22" t="s">
        <v>60</v>
      </c>
    </row>
    <row r="18" spans="15:18" ht="12.75">
      <c r="O18" s="28" t="s">
        <v>59</v>
      </c>
      <c r="P18" s="28"/>
      <c r="Q18" s="28"/>
      <c r="R18" s="28"/>
    </row>
    <row r="19" spans="3:19" ht="12.75">
      <c r="C19" s="22" t="s">
        <v>14</v>
      </c>
      <c r="N19" s="8"/>
      <c r="O19" s="8"/>
      <c r="P19" s="8"/>
      <c r="Q19" s="8" t="s">
        <v>37</v>
      </c>
      <c r="R19" s="8"/>
      <c r="S19" s="8"/>
    </row>
    <row r="20" spans="2:19" ht="12.75">
      <c r="B20" s="8" t="str">
        <f aca="true" t="shared" si="2" ref="B20:B27">B8</f>
        <v>Accident</v>
      </c>
      <c r="N20" s="8"/>
      <c r="O20" s="8" t="s">
        <v>24</v>
      </c>
      <c r="P20" s="8" t="s">
        <v>36</v>
      </c>
      <c r="Q20" s="8" t="s">
        <v>56</v>
      </c>
      <c r="R20" s="8"/>
      <c r="S20" s="8"/>
    </row>
    <row r="21" spans="2:19" ht="12.75">
      <c r="B21" s="9" t="str">
        <f t="shared" si="2"/>
        <v>Year</v>
      </c>
      <c r="C21" s="9" t="str">
        <f aca="true" t="shared" si="3" ref="C21:H21">C9&amp;" - "&amp;D9</f>
        <v>12 - 24</v>
      </c>
      <c r="D21" s="9" t="str">
        <f t="shared" si="3"/>
        <v>24 - 36</v>
      </c>
      <c r="E21" s="9" t="str">
        <f t="shared" si="3"/>
        <v>36 - 48</v>
      </c>
      <c r="F21" s="9" t="str">
        <f t="shared" si="3"/>
        <v>48 - 60</v>
      </c>
      <c r="G21" s="9" t="str">
        <f t="shared" si="3"/>
        <v>60 - 72</v>
      </c>
      <c r="H21" s="9" t="str">
        <f t="shared" si="3"/>
        <v>72 - 84</v>
      </c>
      <c r="I21" s="9" t="str">
        <f>I9&amp;" - ULT"</f>
        <v>84 - ULT</v>
      </c>
      <c r="M21" s="8" t="str">
        <f aca="true" t="shared" si="4" ref="M21:M29">B8</f>
        <v>Accident</v>
      </c>
      <c r="N21" s="8" t="s">
        <v>48</v>
      </c>
      <c r="O21" s="8" t="s">
        <v>27</v>
      </c>
      <c r="P21" s="8" t="s">
        <v>27</v>
      </c>
      <c r="Q21" s="8" t="s">
        <v>57</v>
      </c>
      <c r="R21" s="25"/>
      <c r="S21" s="8"/>
    </row>
    <row r="22" spans="2:19" ht="12.75">
      <c r="B22" s="8">
        <f t="shared" si="2"/>
        <v>1995</v>
      </c>
      <c r="C22" s="48">
        <f aca="true" t="shared" si="5" ref="C22:H27">IF(OR(C10=0,D10=""),"",D10/C10)</f>
        <v>1.3249089253187614</v>
      </c>
      <c r="D22" s="48">
        <f t="shared" si="5"/>
        <v>1.1261385117717821</v>
      </c>
      <c r="E22" s="48">
        <f t="shared" si="5"/>
        <v>1.065008393102396</v>
      </c>
      <c r="F22" s="48">
        <f t="shared" si="5"/>
        <v>1.0329560108898124</v>
      </c>
      <c r="G22" s="48">
        <f t="shared" si="5"/>
        <v>1.0149812734082397</v>
      </c>
      <c r="H22" s="48">
        <f t="shared" si="5"/>
        <v>1.002050020500205</v>
      </c>
      <c r="I22" s="48"/>
      <c r="M22" s="9" t="str">
        <f t="shared" si="4"/>
        <v>Year</v>
      </c>
      <c r="N22" s="9" t="s">
        <v>49</v>
      </c>
      <c r="O22" s="9" t="s">
        <v>55</v>
      </c>
      <c r="P22" s="9" t="s">
        <v>55</v>
      </c>
      <c r="Q22" s="9" t="s">
        <v>55</v>
      </c>
      <c r="R22" s="9"/>
      <c r="S22" s="9" t="s">
        <v>19</v>
      </c>
    </row>
    <row r="23" spans="2:19" ht="12.75">
      <c r="B23" s="8">
        <f t="shared" si="2"/>
        <v>1996</v>
      </c>
      <c r="C23" s="49">
        <f t="shared" si="5"/>
        <v>1.3509869063904631</v>
      </c>
      <c r="D23" s="49">
        <f t="shared" si="5"/>
        <v>1.1500072327498916</v>
      </c>
      <c r="E23" s="49">
        <f t="shared" si="5"/>
        <v>1.0564779874213837</v>
      </c>
      <c r="F23" s="49">
        <f t="shared" si="5"/>
        <v>1.0391713299202285</v>
      </c>
      <c r="G23" s="49">
        <f t="shared" si="5"/>
        <v>1.033455545371219</v>
      </c>
      <c r="H23" s="49">
        <f t="shared" si="5"/>
      </c>
      <c r="I23" s="49"/>
      <c r="M23" s="8">
        <f t="shared" si="4"/>
        <v>1995</v>
      </c>
      <c r="N23" s="23">
        <v>10460</v>
      </c>
      <c r="O23" s="2">
        <f>E43</f>
        <v>7427.315999999999</v>
      </c>
      <c r="P23" s="2">
        <f aca="true" t="shared" si="6" ref="P23:P29">E95</f>
        <v>7425.804</v>
      </c>
      <c r="Q23" s="2">
        <f>G199</f>
        <v>7427.316</v>
      </c>
      <c r="S23" s="52" t="s">
        <v>74</v>
      </c>
    </row>
    <row r="24" spans="2:19" ht="12.75">
      <c r="B24" s="8">
        <f t="shared" si="2"/>
        <v>1997</v>
      </c>
      <c r="C24" s="49">
        <f t="shared" si="5"/>
        <v>1.3370478313046459</v>
      </c>
      <c r="D24" s="49">
        <f t="shared" si="5"/>
        <v>1.138992178484421</v>
      </c>
      <c r="E24" s="49">
        <f t="shared" si="5"/>
        <v>1.0513340087808174</v>
      </c>
      <c r="F24" s="49">
        <f t="shared" si="5"/>
        <v>1.051183210193811</v>
      </c>
      <c r="G24" s="49">
        <f t="shared" si="5"/>
      </c>
      <c r="H24" s="49">
        <f t="shared" si="5"/>
      </c>
      <c r="I24" s="49"/>
      <c r="M24" s="8">
        <f t="shared" si="4"/>
        <v>1996</v>
      </c>
      <c r="N24" s="23">
        <v>13185</v>
      </c>
      <c r="O24" s="2">
        <f>E44</f>
        <v>9155.53452</v>
      </c>
      <c r="P24" s="2">
        <f t="shared" si="6"/>
        <v>8930.374632</v>
      </c>
      <c r="Q24" s="2">
        <f>G200</f>
        <v>9155.53452</v>
      </c>
      <c r="S24" s="52" t="s">
        <v>74</v>
      </c>
    </row>
    <row r="25" spans="2:19" ht="12.75">
      <c r="B25" s="8">
        <f t="shared" si="2"/>
        <v>1998</v>
      </c>
      <c r="C25" s="49">
        <f t="shared" si="5"/>
        <v>1.4079861111111112</v>
      </c>
      <c r="D25" s="49">
        <f t="shared" si="5"/>
        <v>1.1339909576654337</v>
      </c>
      <c r="E25" s="49">
        <f t="shared" si="5"/>
        <v>1.0895251902863357</v>
      </c>
      <c r="F25" s="49">
        <f t="shared" si="5"/>
      </c>
      <c r="G25" s="49">
        <f t="shared" si="5"/>
      </c>
      <c r="H25" s="49">
        <f t="shared" si="5"/>
      </c>
      <c r="I25" s="49"/>
      <c r="M25" s="8">
        <f t="shared" si="4"/>
        <v>1997</v>
      </c>
      <c r="N25" s="23">
        <v>15603</v>
      </c>
      <c r="O25" s="24">
        <f>C45*D45</f>
        <v>10203.658487808001</v>
      </c>
      <c r="P25" s="2">
        <f t="shared" si="6"/>
        <v>10002.66041988</v>
      </c>
      <c r="Q25" s="2">
        <f>G201</f>
        <v>10203.658487808003</v>
      </c>
      <c r="S25" s="52" t="s">
        <v>74</v>
      </c>
    </row>
    <row r="26" spans="2:19" ht="12.75">
      <c r="B26" s="8">
        <f t="shared" si="2"/>
        <v>1999</v>
      </c>
      <c r="C26" s="49">
        <f t="shared" si="5"/>
        <v>1.4330699088145897</v>
      </c>
      <c r="D26" s="49">
        <f t="shared" si="5"/>
        <v>1.191312462882837</v>
      </c>
      <c r="E26" s="49">
        <f t="shared" si="5"/>
      </c>
      <c r="F26" s="49">
        <f t="shared" si="5"/>
      </c>
      <c r="G26" s="49">
        <f t="shared" si="5"/>
      </c>
      <c r="H26" s="49">
        <f t="shared" si="5"/>
      </c>
      <c r="I26" s="49"/>
      <c r="M26" s="8">
        <f t="shared" si="4"/>
        <v>1998</v>
      </c>
      <c r="N26" s="23">
        <v>17803</v>
      </c>
      <c r="O26" s="2">
        <f>E46</f>
        <v>13009.985742422015</v>
      </c>
      <c r="P26" s="2">
        <f t="shared" si="6"/>
        <v>12543.82617494736</v>
      </c>
      <c r="Q26" s="2">
        <f>G202</f>
        <v>13011.410467085449</v>
      </c>
      <c r="S26" s="52" t="s">
        <v>74</v>
      </c>
    </row>
    <row r="27" spans="2:19" ht="12.75">
      <c r="B27" s="8">
        <f t="shared" si="2"/>
        <v>2000</v>
      </c>
      <c r="C27" s="49">
        <f t="shared" si="5"/>
        <v>1.570935412026726</v>
      </c>
      <c r="D27" s="49">
        <f t="shared" si="5"/>
      </c>
      <c r="E27" s="49">
        <f t="shared" si="5"/>
      </c>
      <c r="F27" s="49">
        <f t="shared" si="5"/>
      </c>
      <c r="G27" s="49">
        <f t="shared" si="5"/>
      </c>
      <c r="H27" s="49">
        <f t="shared" si="5"/>
      </c>
      <c r="I27" s="49"/>
      <c r="M27" s="8">
        <f t="shared" si="4"/>
        <v>1999</v>
      </c>
      <c r="N27" s="23">
        <v>20845</v>
      </c>
      <c r="O27" s="2">
        <f>E47</f>
        <v>16196.233391680462</v>
      </c>
      <c r="P27" s="2">
        <f t="shared" si="6"/>
        <v>15606.079780625818</v>
      </c>
      <c r="Q27" s="2">
        <f>G203</f>
        <v>16206.5163145918</v>
      </c>
      <c r="S27" s="52" t="s">
        <v>74</v>
      </c>
    </row>
    <row r="28" spans="2:19" ht="12.75">
      <c r="B28" s="8"/>
      <c r="M28" s="8">
        <f t="shared" si="4"/>
        <v>2000</v>
      </c>
      <c r="N28" s="23">
        <v>21212</v>
      </c>
      <c r="O28" s="2">
        <f>E48</f>
        <v>18793.242091381846</v>
      </c>
      <c r="P28" s="2">
        <f t="shared" si="6"/>
        <v>16318.62132024335</v>
      </c>
      <c r="Q28" s="2">
        <f>E204*F204/1000</f>
        <v>18805.971639840835</v>
      </c>
      <c r="R28" s="26"/>
      <c r="S28" s="52" t="s">
        <v>74</v>
      </c>
    </row>
    <row r="29" spans="2:19" ht="12.75">
      <c r="B29" s="21" t="s">
        <v>15</v>
      </c>
      <c r="C29" s="14">
        <f aca="true" t="shared" si="7" ref="C29:H29">AVERAGE(C22:C27)</f>
        <v>1.4041558491610495</v>
      </c>
      <c r="D29" s="14">
        <f t="shared" si="7"/>
        <v>1.148088268710873</v>
      </c>
      <c r="E29" s="14">
        <f t="shared" si="7"/>
        <v>1.0655863948977333</v>
      </c>
      <c r="F29" s="14">
        <f t="shared" si="7"/>
        <v>1.041103517001284</v>
      </c>
      <c r="G29" s="14">
        <f t="shared" si="7"/>
        <v>1.0242184093897295</v>
      </c>
      <c r="H29" s="14">
        <f t="shared" si="7"/>
        <v>1.002050020500205</v>
      </c>
      <c r="M29" s="8">
        <f t="shared" si="4"/>
        <v>2001</v>
      </c>
      <c r="N29" s="23">
        <v>26383</v>
      </c>
      <c r="O29" s="2">
        <f>E49</f>
        <v>25830.21819051305</v>
      </c>
      <c r="P29" s="2">
        <f t="shared" si="6"/>
        <v>21424.28013474929</v>
      </c>
      <c r="Q29" s="2">
        <f>G205</f>
        <v>25829.193826462957</v>
      </c>
      <c r="R29" s="2"/>
      <c r="S29" s="52" t="s">
        <v>74</v>
      </c>
    </row>
    <row r="30" spans="2:19" ht="12.75">
      <c r="B30" s="22" t="s">
        <v>16</v>
      </c>
      <c r="C30" s="14">
        <f>AVERAGE(C25:C27)</f>
        <v>1.470663810650809</v>
      </c>
      <c r="D30" s="14">
        <f>AVERAGE(D24:D26)</f>
        <v>1.1547651996775639</v>
      </c>
      <c r="E30" s="14">
        <f>AVERAGE(E23:E25)</f>
        <v>1.0657790621628456</v>
      </c>
      <c r="F30" s="14">
        <f>AVERAGE(F22:F24)</f>
        <v>1.041103517001284</v>
      </c>
      <c r="N30" s="3"/>
      <c r="S30" s="22"/>
    </row>
    <row r="31" spans="2:19" ht="12.75">
      <c r="B31" s="22" t="s">
        <v>17</v>
      </c>
      <c r="C31" s="14">
        <f>(SUM(C22:C27)-MIN(C22:C27)-MAX(C22:C27))/(COUNT(C22:C27)-2)</f>
        <v>1.3822726894052026</v>
      </c>
      <c r="D31" s="14">
        <f>(SUM(D22:D27)-MIN(D22:D27)-MAX(D22:D27))/(COUNT(D22:D27)-2)</f>
        <v>1.1409967896332487</v>
      </c>
      <c r="E31" s="14">
        <f>(SUM(E22:E27)-MIN(E22:E27)-MAX(E22:E27))/(COUNT(E22:E27)-2)</f>
        <v>1.06074319026189</v>
      </c>
      <c r="F31" s="14">
        <f>(SUM(F22:F27)-MIN(F22:F27)-MAX(F22:F27))/(COUNT(F22:F27)-2)</f>
        <v>1.0391713299202283</v>
      </c>
      <c r="M31" s="8" t="s">
        <v>30</v>
      </c>
      <c r="N31" s="3">
        <f>SUM(N23:N30)</f>
        <v>125491</v>
      </c>
      <c r="O31" s="3">
        <f>SUM(O23:O30)</f>
        <v>100616.18842380538</v>
      </c>
      <c r="P31" s="3">
        <f>SUM(P23:P30)</f>
        <v>92251.64646244583</v>
      </c>
      <c r="Q31" s="3">
        <f>SUM(Q23:Q30)</f>
        <v>100639.60125578905</v>
      </c>
      <c r="S31" s="52" t="s">
        <v>74</v>
      </c>
    </row>
    <row r="32" spans="2:9" ht="12.75">
      <c r="B32" s="22" t="s">
        <v>18</v>
      </c>
      <c r="C32" s="55">
        <v>1.398</v>
      </c>
      <c r="D32" s="55">
        <v>1.141</v>
      </c>
      <c r="E32" s="55">
        <v>1.063</v>
      </c>
      <c r="F32" s="55">
        <v>1.032</v>
      </c>
      <c r="G32" s="55">
        <v>1.016</v>
      </c>
      <c r="H32" s="55">
        <v>1.001</v>
      </c>
      <c r="I32" s="55">
        <v>1.013</v>
      </c>
    </row>
    <row r="33" ht="12.75">
      <c r="B33" s="4"/>
    </row>
    <row r="34" spans="2:9" ht="12.75">
      <c r="B34" s="22" t="s">
        <v>19</v>
      </c>
      <c r="C34" s="55">
        <v>1.471</v>
      </c>
      <c r="D34" s="55">
        <v>1.155</v>
      </c>
      <c r="E34" s="55">
        <v>1.066</v>
      </c>
      <c r="F34" s="55">
        <v>1.041</v>
      </c>
      <c r="G34" s="55">
        <v>1.024</v>
      </c>
      <c r="H34" s="55">
        <v>1.002</v>
      </c>
      <c r="I34" s="55">
        <v>1.013</v>
      </c>
    </row>
    <row r="35" spans="2:13" ht="12.75">
      <c r="B35" s="22" t="s">
        <v>20</v>
      </c>
      <c r="C35" s="47">
        <f>PRODUCT(C34:$I34)</f>
        <v>1.959655427548217</v>
      </c>
      <c r="D35" s="47">
        <f>PRODUCT(D34:$I34)</f>
        <v>1.3321926767832881</v>
      </c>
      <c r="E35" s="47">
        <f>PRODUCT(E34:$I34)</f>
        <v>1.1534135729725439</v>
      </c>
      <c r="F35" s="47">
        <f>PRODUCT(F34:$I34)</f>
        <v>1.082001475584</v>
      </c>
      <c r="G35" s="47">
        <f>PRODUCT(G34:$I34)</f>
        <v>1.039386624</v>
      </c>
      <c r="H35" s="47">
        <f>PRODUCT(H34:$I34)</f>
        <v>1.015026</v>
      </c>
      <c r="I35" s="47">
        <f>PRODUCT(I34:$I34)</f>
        <v>1.013</v>
      </c>
      <c r="M35" s="4"/>
    </row>
    <row r="36" ht="12.75">
      <c r="AE36" s="2"/>
    </row>
    <row r="37" spans="15:18" ht="12.75">
      <c r="O37" s="28" t="s">
        <v>62</v>
      </c>
      <c r="P37" s="28"/>
      <c r="Q37" s="28"/>
      <c r="R37" s="28"/>
    </row>
    <row r="38" spans="3:19" ht="12.75">
      <c r="C38" s="22" t="s">
        <v>21</v>
      </c>
      <c r="N38" s="8"/>
      <c r="O38" s="8"/>
      <c r="P38" s="8"/>
      <c r="Q38" s="8" t="s">
        <v>37</v>
      </c>
      <c r="R38" s="8"/>
      <c r="S38" s="8"/>
    </row>
    <row r="39" spans="14:19" ht="12.75">
      <c r="N39" s="8"/>
      <c r="O39" s="8" t="s">
        <v>24</v>
      </c>
      <c r="P39" s="8" t="s">
        <v>36</v>
      </c>
      <c r="Q39" s="8" t="s">
        <v>56</v>
      </c>
      <c r="R39" s="8"/>
      <c r="S39" s="8"/>
    </row>
    <row r="40" spans="3:19" ht="12.75">
      <c r="C40" s="57" t="s">
        <v>24</v>
      </c>
      <c r="D40" s="22"/>
      <c r="E40" s="57" t="s">
        <v>28</v>
      </c>
      <c r="M40" s="8" t="str">
        <f aca="true" t="shared" si="8" ref="M40:M48">M21</f>
        <v>Accident</v>
      </c>
      <c r="N40" s="8"/>
      <c r="O40" s="8" t="s">
        <v>27</v>
      </c>
      <c r="P40" s="8" t="s">
        <v>27</v>
      </c>
      <c r="Q40" s="8" t="s">
        <v>57</v>
      </c>
      <c r="R40" s="25"/>
      <c r="S40" s="8"/>
    </row>
    <row r="41" spans="2:19" ht="12.75">
      <c r="B41" s="8" t="str">
        <f>B20</f>
        <v>Accident</v>
      </c>
      <c r="C41" s="57" t="s">
        <v>25</v>
      </c>
      <c r="D41" s="57" t="s">
        <v>26</v>
      </c>
      <c r="E41" s="57" t="s">
        <v>29</v>
      </c>
      <c r="M41" s="9" t="str">
        <f t="shared" si="8"/>
        <v>Year</v>
      </c>
      <c r="N41" s="9"/>
      <c r="O41" s="9" t="s">
        <v>55</v>
      </c>
      <c r="P41" s="9" t="s">
        <v>55</v>
      </c>
      <c r="Q41" s="9" t="s">
        <v>55</v>
      </c>
      <c r="R41" s="9"/>
      <c r="S41" s="9" t="s">
        <v>19</v>
      </c>
    </row>
    <row r="42" spans="2:19" ht="12.75">
      <c r="B42" s="9" t="str">
        <f>B21</f>
        <v>Year</v>
      </c>
      <c r="C42" s="56" t="str">
        <f>"at "&amp;TEXT(curreval,"m/d/yy")</f>
        <v>at 12/31/01</v>
      </c>
      <c r="D42" s="56" t="s">
        <v>27</v>
      </c>
      <c r="E42" s="56" t="s">
        <v>25</v>
      </c>
      <c r="M42" s="8">
        <f t="shared" si="8"/>
        <v>1995</v>
      </c>
      <c r="N42" s="10"/>
      <c r="O42" s="50">
        <f aca="true" t="shared" si="9" ref="O42:Q46">O23/$N23</f>
        <v>0.7100684512428297</v>
      </c>
      <c r="P42" s="50">
        <f t="shared" si="9"/>
        <v>0.7099239005736138</v>
      </c>
      <c r="Q42" s="50">
        <f t="shared" si="9"/>
        <v>0.7100684512428298</v>
      </c>
      <c r="S42" s="52" t="s">
        <v>74</v>
      </c>
    </row>
    <row r="43" spans="2:19" ht="12.75">
      <c r="B43" s="8">
        <f aca="true" t="shared" si="10" ref="B43:B49">B10</f>
        <v>1995</v>
      </c>
      <c r="C43" s="3">
        <f aca="true" ca="1" t="shared" si="11" ref="C43:C49">OFFSET(C$16,-A44,A44)</f>
        <v>7332</v>
      </c>
      <c r="D43" s="47">
        <f aca="true" ca="1" t="shared" si="12" ref="D43:D49">OFFSET(C$35,0,A44)</f>
        <v>1.013</v>
      </c>
      <c r="E43" s="3">
        <f aca="true" t="shared" si="13" ref="E43:E49">D43*C43</f>
        <v>7427.315999999999</v>
      </c>
      <c r="M43" s="8">
        <f t="shared" si="8"/>
        <v>1996</v>
      </c>
      <c r="N43" s="10"/>
      <c r="O43" s="50">
        <f t="shared" si="9"/>
        <v>0.6943901797497155</v>
      </c>
      <c r="P43" s="50">
        <f t="shared" si="9"/>
        <v>0.6773132068259385</v>
      </c>
      <c r="Q43" s="50">
        <f t="shared" si="9"/>
        <v>0.6943901797497155</v>
      </c>
      <c r="S43" s="52" t="s">
        <v>74</v>
      </c>
    </row>
    <row r="44" spans="1:19" ht="12.75">
      <c r="A44" s="51">
        <f aca="true" t="shared" si="14" ref="A44:A49">A45+1</f>
        <v>6</v>
      </c>
      <c r="B44" s="8">
        <f t="shared" si="10"/>
        <v>1996</v>
      </c>
      <c r="C44" s="3">
        <f ca="1" t="shared" si="11"/>
        <v>9020</v>
      </c>
      <c r="D44" s="47">
        <f ca="1" t="shared" si="12"/>
        <v>1.015026</v>
      </c>
      <c r="E44" s="3">
        <f t="shared" si="13"/>
        <v>9155.53452</v>
      </c>
      <c r="M44" s="8">
        <f t="shared" si="8"/>
        <v>1997</v>
      </c>
      <c r="N44" s="10"/>
      <c r="O44" s="50">
        <f t="shared" si="9"/>
        <v>0.6539549117354355</v>
      </c>
      <c r="P44" s="50">
        <f t="shared" si="9"/>
        <v>0.6410728975120169</v>
      </c>
      <c r="Q44" s="50">
        <f t="shared" si="9"/>
        <v>0.6539549117354356</v>
      </c>
      <c r="S44" s="52" t="s">
        <v>74</v>
      </c>
    </row>
    <row r="45" spans="1:19" ht="12.75">
      <c r="A45" s="51">
        <f t="shared" si="14"/>
        <v>5</v>
      </c>
      <c r="B45" s="8">
        <f t="shared" si="10"/>
        <v>1997</v>
      </c>
      <c r="C45" s="3">
        <f ca="1" t="shared" si="11"/>
        <v>9817</v>
      </c>
      <c r="D45" s="47">
        <f ca="1" t="shared" si="12"/>
        <v>1.039386624</v>
      </c>
      <c r="E45" s="3">
        <f t="shared" si="13"/>
        <v>10203.658487808001</v>
      </c>
      <c r="M45" s="8">
        <f t="shared" si="8"/>
        <v>1998</v>
      </c>
      <c r="N45" s="10"/>
      <c r="O45" s="50">
        <f t="shared" si="9"/>
        <v>0.7307749111061066</v>
      </c>
      <c r="P45" s="50">
        <f t="shared" si="9"/>
        <v>0.7045905844491018</v>
      </c>
      <c r="Q45" s="50">
        <f t="shared" si="9"/>
        <v>0.7308549383298011</v>
      </c>
      <c r="S45" s="52" t="s">
        <v>74</v>
      </c>
    </row>
    <row r="46" spans="1:19" ht="12.75">
      <c r="A46" s="51">
        <f t="shared" si="14"/>
        <v>4</v>
      </c>
      <c r="B46" s="8">
        <f t="shared" si="10"/>
        <v>1998</v>
      </c>
      <c r="C46" s="3">
        <f ca="1" t="shared" si="11"/>
        <v>12024</v>
      </c>
      <c r="D46" s="47">
        <f ca="1" t="shared" si="12"/>
        <v>1.082001475584</v>
      </c>
      <c r="E46" s="3">
        <f t="shared" si="13"/>
        <v>13009.985742422015</v>
      </c>
      <c r="M46" s="8">
        <f t="shared" si="8"/>
        <v>1999</v>
      </c>
      <c r="N46" s="10"/>
      <c r="O46" s="50">
        <f t="shared" si="9"/>
        <v>0.7769840917093049</v>
      </c>
      <c r="P46" s="50">
        <f t="shared" si="9"/>
        <v>0.7486725728292549</v>
      </c>
      <c r="Q46" s="50">
        <f t="shared" si="9"/>
        <v>0.7774773957587815</v>
      </c>
      <c r="S46" s="52" t="s">
        <v>74</v>
      </c>
    </row>
    <row r="47" spans="1:19" ht="12.75">
      <c r="A47" s="51">
        <f t="shared" si="14"/>
        <v>3</v>
      </c>
      <c r="B47" s="8">
        <f t="shared" si="10"/>
        <v>1999</v>
      </c>
      <c r="C47" s="3">
        <f ca="1" t="shared" si="11"/>
        <v>14042</v>
      </c>
      <c r="D47" s="47">
        <f ca="1" t="shared" si="12"/>
        <v>1.1534135729725439</v>
      </c>
      <c r="E47" s="3">
        <f t="shared" si="13"/>
        <v>16196.233391680462</v>
      </c>
      <c r="M47" s="8">
        <f t="shared" si="8"/>
        <v>2000</v>
      </c>
      <c r="N47" s="10"/>
      <c r="O47" s="50">
        <f>O28/$N28</f>
        <v>0.885972189863372</v>
      </c>
      <c r="P47" s="34">
        <f>16314/$N28</f>
        <v>0.7690929662455214</v>
      </c>
      <c r="Q47" s="50">
        <f>Q28/$N28</f>
        <v>0.8865723005770713</v>
      </c>
      <c r="R47" s="26"/>
      <c r="S47" s="52" t="s">
        <v>74</v>
      </c>
    </row>
    <row r="48" spans="1:19" ht="12.75">
      <c r="A48" s="51">
        <f t="shared" si="14"/>
        <v>2</v>
      </c>
      <c r="B48" s="8">
        <f t="shared" si="10"/>
        <v>2000</v>
      </c>
      <c r="C48" s="3">
        <f ca="1" t="shared" si="11"/>
        <v>14107</v>
      </c>
      <c r="D48" s="47">
        <f ca="1" t="shared" si="12"/>
        <v>1.3321926767832881</v>
      </c>
      <c r="E48" s="3">
        <f t="shared" si="13"/>
        <v>18793.242091381846</v>
      </c>
      <c r="M48" s="8">
        <f t="shared" si="8"/>
        <v>2001</v>
      </c>
      <c r="N48" s="10"/>
      <c r="O48" s="50">
        <f>O29/$N29</f>
        <v>0.9790478031502501</v>
      </c>
      <c r="P48" s="50">
        <f>P29/$N29</f>
        <v>0.812048672810116</v>
      </c>
      <c r="Q48" s="50">
        <f>Q29/$N29</f>
        <v>0.9790089764796633</v>
      </c>
      <c r="R48" s="2"/>
      <c r="S48" s="52" t="s">
        <v>74</v>
      </c>
    </row>
    <row r="49" spans="1:14" ht="12.75">
      <c r="A49" s="51">
        <f t="shared" si="14"/>
        <v>1</v>
      </c>
      <c r="B49" s="8">
        <f t="shared" si="10"/>
        <v>2001</v>
      </c>
      <c r="C49" s="3">
        <f ca="1" t="shared" si="11"/>
        <v>13181</v>
      </c>
      <c r="D49" s="47">
        <f ca="1" t="shared" si="12"/>
        <v>1.959655427548217</v>
      </c>
      <c r="E49" s="3">
        <f t="shared" si="13"/>
        <v>25830.21819051305</v>
      </c>
      <c r="N49" s="3"/>
    </row>
    <row r="50" spans="1:19" ht="12.75">
      <c r="A50" s="31">
        <v>0</v>
      </c>
      <c r="M50" s="8" t="s">
        <v>30</v>
      </c>
      <c r="N50" s="3"/>
      <c r="O50" s="50">
        <f>O31/$N31</f>
        <v>0.8017801150983367</v>
      </c>
      <c r="P50" s="50">
        <f>P31/$N31</f>
        <v>0.7351255983492508</v>
      </c>
      <c r="Q50" s="50">
        <f>Q31/$N31</f>
        <v>0.8019666849079938</v>
      </c>
      <c r="S50" s="52" t="s">
        <v>74</v>
      </c>
    </row>
    <row r="51" spans="2:5" ht="12.75">
      <c r="B51" s="18" t="s">
        <v>30</v>
      </c>
      <c r="C51" s="2">
        <f>SUM(C43:C50)</f>
        <v>79523</v>
      </c>
      <c r="E51" s="2">
        <f>SUMPRODUCT(C43:C49,D43:D49)</f>
        <v>100616.18842380538</v>
      </c>
    </row>
    <row r="56" ht="12.75">
      <c r="B56" t="str">
        <f>title1</f>
        <v>Monstertruck Mutual</v>
      </c>
    </row>
    <row r="57" ht="12.75">
      <c r="B57" t="str">
        <f>line&amp;" - Variant Case"</f>
        <v>Commercial Automobile Liability - Variant Case</v>
      </c>
    </row>
    <row r="59" ht="12.75">
      <c r="C59" s="22" t="s">
        <v>32</v>
      </c>
    </row>
    <row r="60" spans="2:3" ht="12.75">
      <c r="B60" s="57" t="s">
        <v>0</v>
      </c>
      <c r="C60" s="22"/>
    </row>
    <row r="61" spans="2:9" ht="12.75">
      <c r="B61" s="56" t="s">
        <v>1</v>
      </c>
      <c r="C61" s="56">
        <v>12</v>
      </c>
      <c r="D61" s="9">
        <f aca="true" t="shared" si="15" ref="D61:I61">C61+12</f>
        <v>24</v>
      </c>
      <c r="E61" s="9">
        <f t="shared" si="15"/>
        <v>36</v>
      </c>
      <c r="F61" s="9">
        <f t="shared" si="15"/>
        <v>48</v>
      </c>
      <c r="G61" s="9">
        <f t="shared" si="15"/>
        <v>60</v>
      </c>
      <c r="H61" s="9">
        <f t="shared" si="15"/>
        <v>72</v>
      </c>
      <c r="I61" s="9">
        <f t="shared" si="15"/>
        <v>84</v>
      </c>
    </row>
    <row r="62" spans="2:9" ht="12.75">
      <c r="B62" s="8">
        <f aca="true" t="shared" si="16" ref="B62:B67">B63-1</f>
        <v>1995</v>
      </c>
      <c r="C62" s="23">
        <v>1713</v>
      </c>
      <c r="D62" s="23">
        <v>3758</v>
      </c>
      <c r="E62" s="23">
        <v>5239</v>
      </c>
      <c r="F62" s="23">
        <v>6328</v>
      </c>
      <c r="G62" s="23">
        <v>6657</v>
      </c>
      <c r="H62" s="23">
        <v>6837</v>
      </c>
      <c r="I62" s="23">
        <v>6953</v>
      </c>
    </row>
    <row r="63" spans="2:9" ht="12.75">
      <c r="B63" s="8">
        <f t="shared" si="16"/>
        <v>1996</v>
      </c>
      <c r="C63" s="23">
        <v>2042</v>
      </c>
      <c r="D63" s="23">
        <v>4387</v>
      </c>
      <c r="E63" s="23">
        <v>6256</v>
      </c>
      <c r="F63" s="23">
        <v>7551</v>
      </c>
      <c r="G63" s="23">
        <v>7959</v>
      </c>
      <c r="H63" s="23">
        <v>8222</v>
      </c>
      <c r="I63" s="23"/>
    </row>
    <row r="64" spans="2:9" ht="12.75">
      <c r="B64" s="8">
        <f t="shared" si="16"/>
        <v>1997</v>
      </c>
      <c r="C64" s="23">
        <v>2223</v>
      </c>
      <c r="D64" s="23">
        <v>4933</v>
      </c>
      <c r="E64" s="23">
        <v>6940</v>
      </c>
      <c r="F64" s="23">
        <v>8467</v>
      </c>
      <c r="G64" s="23">
        <v>8941</v>
      </c>
      <c r="H64" s="23"/>
      <c r="I64" s="23"/>
    </row>
    <row r="65" spans="2:9" ht="12.75">
      <c r="B65" s="8">
        <f t="shared" si="16"/>
        <v>1998</v>
      </c>
      <c r="C65" s="23">
        <v>2589</v>
      </c>
      <c r="D65" s="23">
        <v>6044</v>
      </c>
      <c r="E65" s="23">
        <v>8734</v>
      </c>
      <c r="F65" s="23">
        <v>10638</v>
      </c>
      <c r="G65" s="23"/>
      <c r="H65" s="23"/>
      <c r="I65" s="23"/>
    </row>
    <row r="66" spans="2:9" ht="12.75">
      <c r="B66" s="8">
        <f t="shared" si="16"/>
        <v>1999</v>
      </c>
      <c r="C66" s="23">
        <v>3043</v>
      </c>
      <c r="D66" s="23">
        <v>7487</v>
      </c>
      <c r="E66" s="23">
        <v>10893</v>
      </c>
      <c r="F66" s="23"/>
      <c r="G66" s="23"/>
      <c r="H66" s="23"/>
      <c r="I66" s="23"/>
    </row>
    <row r="67" spans="2:9" ht="12.75">
      <c r="B67" s="8">
        <f t="shared" si="16"/>
        <v>2000</v>
      </c>
      <c r="C67" s="23">
        <v>3368</v>
      </c>
      <c r="D67" s="23">
        <v>7932</v>
      </c>
      <c r="E67" s="23"/>
      <c r="F67" s="23"/>
      <c r="G67" s="23"/>
      <c r="H67" s="23"/>
      <c r="I67" s="23"/>
    </row>
    <row r="68" spans="2:9" ht="12.75">
      <c r="B68" s="57">
        <f>B16</f>
        <v>2001</v>
      </c>
      <c r="C68" s="23">
        <v>4370</v>
      </c>
      <c r="D68" s="23"/>
      <c r="E68" s="23"/>
      <c r="F68" s="23"/>
      <c r="G68" s="23"/>
      <c r="H68" s="23"/>
      <c r="I68" s="23"/>
    </row>
    <row r="71" ht="12.75">
      <c r="C71" s="22" t="s">
        <v>33</v>
      </c>
    </row>
    <row r="72" ht="12.75">
      <c r="B72" s="8" t="str">
        <f aca="true" t="shared" si="17" ref="B72:B79">B60</f>
        <v>Accident</v>
      </c>
    </row>
    <row r="73" spans="2:9" ht="12.75">
      <c r="B73" s="9" t="str">
        <f t="shared" si="17"/>
        <v>Year</v>
      </c>
      <c r="C73" s="9" t="str">
        <f aca="true" t="shared" si="18" ref="C73:H73">C61&amp;" - "&amp;D61</f>
        <v>12 - 24</v>
      </c>
      <c r="D73" s="9" t="str">
        <f t="shared" si="18"/>
        <v>24 - 36</v>
      </c>
      <c r="E73" s="9" t="str">
        <f t="shared" si="18"/>
        <v>36 - 48</v>
      </c>
      <c r="F73" s="9" t="str">
        <f t="shared" si="18"/>
        <v>48 - 60</v>
      </c>
      <c r="G73" s="9" t="str">
        <f t="shared" si="18"/>
        <v>60 - 72</v>
      </c>
      <c r="H73" s="9" t="str">
        <f t="shared" si="18"/>
        <v>72 - 84</v>
      </c>
      <c r="I73" s="9" t="str">
        <f>I61&amp;" - ULT"</f>
        <v>84 - ULT</v>
      </c>
    </row>
    <row r="74" spans="2:9" ht="12.75">
      <c r="B74" s="8">
        <f t="shared" si="17"/>
        <v>1995</v>
      </c>
      <c r="C74" s="48">
        <f aca="true" t="shared" si="19" ref="C74:H79">IF(OR(C62=0,D62=""),"",D62/C62)</f>
        <v>2.193812025685931</v>
      </c>
      <c r="D74" s="48">
        <f t="shared" si="19"/>
        <v>1.3940926024481106</v>
      </c>
      <c r="E74" s="48">
        <f t="shared" si="19"/>
        <v>1.2078640962015652</v>
      </c>
      <c r="F74" s="48">
        <f t="shared" si="19"/>
        <v>1.051991150442478</v>
      </c>
      <c r="G74" s="48">
        <f t="shared" si="19"/>
        <v>1.0270392068499323</v>
      </c>
      <c r="H74" s="48">
        <f t="shared" si="19"/>
        <v>1.0169665057773878</v>
      </c>
      <c r="I74" s="48"/>
    </row>
    <row r="75" spans="2:9" ht="12.75">
      <c r="B75" s="8">
        <f t="shared" si="17"/>
        <v>1996</v>
      </c>
      <c r="C75" s="49">
        <f t="shared" si="19"/>
        <v>2.1483839373163565</v>
      </c>
      <c r="D75" s="49">
        <f t="shared" si="19"/>
        <v>1.426031456576248</v>
      </c>
      <c r="E75" s="49">
        <f t="shared" si="19"/>
        <v>1.2070012787723785</v>
      </c>
      <c r="F75" s="49">
        <f t="shared" si="19"/>
        <v>1.0540325784664284</v>
      </c>
      <c r="G75" s="49">
        <f t="shared" si="19"/>
        <v>1.0330443523055661</v>
      </c>
      <c r="H75" s="49">
        <f t="shared" si="19"/>
      </c>
      <c r="I75" s="49"/>
    </row>
    <row r="76" spans="2:9" ht="12.75">
      <c r="B76" s="8">
        <f t="shared" si="17"/>
        <v>1997</v>
      </c>
      <c r="C76" s="49">
        <f t="shared" si="19"/>
        <v>2.2190733243364824</v>
      </c>
      <c r="D76" s="49">
        <f t="shared" si="19"/>
        <v>1.4068518143117779</v>
      </c>
      <c r="E76" s="49">
        <f t="shared" si="19"/>
        <v>1.220028818443804</v>
      </c>
      <c r="F76" s="49">
        <f t="shared" si="19"/>
        <v>1.0559820479508681</v>
      </c>
      <c r="G76" s="49">
        <f t="shared" si="19"/>
      </c>
      <c r="H76" s="49">
        <f t="shared" si="19"/>
      </c>
      <c r="I76" s="49"/>
    </row>
    <row r="77" spans="2:9" ht="12.75">
      <c r="B77" s="8">
        <f t="shared" si="17"/>
        <v>1998</v>
      </c>
      <c r="C77" s="49">
        <f t="shared" si="19"/>
        <v>2.3344920818848975</v>
      </c>
      <c r="D77" s="49">
        <f t="shared" si="19"/>
        <v>1.4450694904037062</v>
      </c>
      <c r="E77" s="49">
        <f t="shared" si="19"/>
        <v>1.2179986260590794</v>
      </c>
      <c r="F77" s="49">
        <f t="shared" si="19"/>
      </c>
      <c r="G77" s="49">
        <f t="shared" si="19"/>
      </c>
      <c r="H77" s="49">
        <f t="shared" si="19"/>
      </c>
      <c r="I77" s="49"/>
    </row>
    <row r="78" spans="2:9" ht="12.75">
      <c r="B78" s="8">
        <f t="shared" si="17"/>
        <v>1999</v>
      </c>
      <c r="C78" s="49">
        <f t="shared" si="19"/>
        <v>2.460400920144594</v>
      </c>
      <c r="D78" s="49">
        <f t="shared" si="19"/>
        <v>1.4549218645652464</v>
      </c>
      <c r="E78" s="49">
        <f t="shared" si="19"/>
      </c>
      <c r="F78" s="49">
        <f t="shared" si="19"/>
      </c>
      <c r="G78" s="49">
        <f t="shared" si="19"/>
      </c>
      <c r="H78" s="49">
        <f t="shared" si="19"/>
      </c>
      <c r="I78" s="49"/>
    </row>
    <row r="79" spans="2:9" ht="12.75">
      <c r="B79" s="8">
        <f t="shared" si="17"/>
        <v>2000</v>
      </c>
      <c r="C79" s="49">
        <f t="shared" si="19"/>
        <v>2.3551068883610453</v>
      </c>
      <c r="D79" s="49">
        <f t="shared" si="19"/>
      </c>
      <c r="E79" s="49">
        <f t="shared" si="19"/>
      </c>
      <c r="F79" s="49">
        <f t="shared" si="19"/>
      </c>
      <c r="G79" s="49">
        <f t="shared" si="19"/>
      </c>
      <c r="H79" s="49">
        <f t="shared" si="19"/>
      </c>
      <c r="I79" s="49"/>
    </row>
    <row r="80" ht="12.75">
      <c r="B80" s="8"/>
    </row>
    <row r="81" spans="2:8" ht="12.75">
      <c r="B81" s="21" t="str">
        <f>B29</f>
        <v>All Yr. Avg</v>
      </c>
      <c r="C81" s="14">
        <f aca="true" t="shared" si="20" ref="C81:H81">AVERAGE(C74:C79)</f>
        <v>2.285211529621552</v>
      </c>
      <c r="D81" s="14">
        <f t="shared" si="20"/>
        <v>1.4253934456610178</v>
      </c>
      <c r="E81" s="14">
        <f t="shared" si="20"/>
        <v>1.2132232048692067</v>
      </c>
      <c r="F81" s="14">
        <f t="shared" si="20"/>
        <v>1.054001925619925</v>
      </c>
      <c r="G81" s="14">
        <f t="shared" si="20"/>
        <v>1.0300417795777492</v>
      </c>
      <c r="H81" s="14">
        <f t="shared" si="20"/>
        <v>1.0169665057773878</v>
      </c>
    </row>
    <row r="82" spans="2:6" ht="12.75">
      <c r="B82" s="21" t="str">
        <f>B30</f>
        <v>Latest 3 Yr Avg</v>
      </c>
      <c r="C82" s="14">
        <f>AVERAGE(C77:C79)</f>
        <v>2.3833332967968457</v>
      </c>
      <c r="D82" s="14">
        <f>AVERAGE(D76:D78)</f>
        <v>1.4356143897602436</v>
      </c>
      <c r="E82" s="14">
        <f>AVERAGE(E75:E77)</f>
        <v>1.2150095744250873</v>
      </c>
      <c r="F82" s="14">
        <f>AVERAGE(F74:F76)</f>
        <v>1.054001925619925</v>
      </c>
    </row>
    <row r="83" spans="2:6" ht="12.75">
      <c r="B83" s="21" t="str">
        <f>B31</f>
        <v>X High/Low</v>
      </c>
      <c r="C83" s="14">
        <f>(SUM(C74:C79)-MIN(C74:C79)-MAX(C74:C79))/(COUNT(C74:C79)-2)</f>
        <v>2.27562108006709</v>
      </c>
      <c r="D83" s="14">
        <f>(SUM(D74:D79)-MIN(D74:D79)-MAX(D74:D79))/(COUNT(D74:D79)-2)</f>
        <v>1.4259842537639107</v>
      </c>
      <c r="E83" s="14">
        <f>(SUM(E74:E79)-MIN(E74:E79)-MAX(E74:E79))/(COUNT(E74:E79)-2)</f>
        <v>1.212931361130322</v>
      </c>
      <c r="F83" s="14">
        <f>(SUM(F74:F79)-MIN(F74:F79)-MAX(F74:F79))/(COUNT(F74:F79)-2)</f>
        <v>1.0540325784664282</v>
      </c>
    </row>
    <row r="84" spans="2:9" ht="12.75">
      <c r="B84" s="21" t="str">
        <f>B32</f>
        <v>Industry</v>
      </c>
      <c r="C84" s="55">
        <v>2.41</v>
      </c>
      <c r="D84" s="55">
        <v>1.432</v>
      </c>
      <c r="E84" s="55">
        <v>1.209</v>
      </c>
      <c r="F84" s="55">
        <v>1.05</v>
      </c>
      <c r="G84" s="55">
        <v>1.032</v>
      </c>
      <c r="H84" s="55">
        <v>1.015</v>
      </c>
      <c r="I84" s="55">
        <v>1.068</v>
      </c>
    </row>
    <row r="85" ht="12.75">
      <c r="B85" s="22"/>
    </row>
    <row r="86" spans="2:9" ht="12.75">
      <c r="B86" s="21" t="str">
        <f>B34</f>
        <v>Selected</v>
      </c>
      <c r="C86" s="55">
        <v>2.383</v>
      </c>
      <c r="D86" s="55">
        <v>1.436</v>
      </c>
      <c r="E86" s="55">
        <v>1.215</v>
      </c>
      <c r="F86" s="55">
        <v>1.054</v>
      </c>
      <c r="G86" s="55">
        <v>1.03</v>
      </c>
      <c r="H86" s="55">
        <v>1.017</v>
      </c>
      <c r="I86" s="55">
        <v>1.068</v>
      </c>
    </row>
    <row r="87" spans="2:9" ht="12.75">
      <c r="B87" s="21" t="str">
        <f>B35</f>
        <v>Age to Ult.</v>
      </c>
      <c r="C87" s="47">
        <f>C86*D87</f>
        <v>4.902581266533018</v>
      </c>
      <c r="D87" s="47">
        <f>D86*E87</f>
        <v>2.0573148411804527</v>
      </c>
      <c r="E87" s="47">
        <f>E86*F87</f>
        <v>1.4326705022148</v>
      </c>
      <c r="F87" s="47">
        <f>F86*G87</f>
        <v>1.17915267672</v>
      </c>
      <c r="G87" s="47">
        <f>G86*H87</f>
        <v>1.11874068</v>
      </c>
      <c r="H87" s="47">
        <f>H86*I84</f>
        <v>1.086156</v>
      </c>
      <c r="I87" s="20">
        <f>I86</f>
        <v>1.068</v>
      </c>
    </row>
    <row r="90" ht="12.75">
      <c r="C90" s="22" t="s">
        <v>31</v>
      </c>
    </row>
    <row r="92" spans="3:5" ht="12.75">
      <c r="C92" s="57" t="s">
        <v>36</v>
      </c>
      <c r="D92" s="22"/>
      <c r="E92" s="57" t="s">
        <v>28</v>
      </c>
    </row>
    <row r="93" spans="2:5" ht="12.75">
      <c r="B93" s="8" t="str">
        <f>B72</f>
        <v>Accident</v>
      </c>
      <c r="C93" s="57" t="s">
        <v>25</v>
      </c>
      <c r="D93" s="57" t="s">
        <v>26</v>
      </c>
      <c r="E93" s="57" t="s">
        <v>29</v>
      </c>
    </row>
    <row r="94" spans="2:5" ht="12.75">
      <c r="B94" s="9" t="str">
        <f>B73</f>
        <v>Year</v>
      </c>
      <c r="C94" s="56" t="str">
        <f>"at "&amp;TEXT(curreval,"m/d/yy")</f>
        <v>at 12/31/01</v>
      </c>
      <c r="D94" s="56" t="s">
        <v>27</v>
      </c>
      <c r="E94" s="56" t="s">
        <v>25</v>
      </c>
    </row>
    <row r="95" spans="2:5" ht="12.75">
      <c r="B95" s="8">
        <f aca="true" t="shared" si="21" ref="B95:B101">B62</f>
        <v>1995</v>
      </c>
      <c r="C95" s="3">
        <f aca="true" ca="1" t="shared" si="22" ref="C95:C101">OFFSET(C$68,-A96,A96)</f>
        <v>6953</v>
      </c>
      <c r="D95" s="55">
        <f>I84</f>
        <v>1.068</v>
      </c>
      <c r="E95" s="3">
        <f aca="true" t="shared" si="23" ref="E95:E101">D95*C95</f>
        <v>7425.804</v>
      </c>
    </row>
    <row r="96" spans="1:5" ht="12.75">
      <c r="A96" s="51">
        <f aca="true" t="shared" si="24" ref="A96:A101">A97+1</f>
        <v>6</v>
      </c>
      <c r="B96" s="8">
        <f t="shared" si="21"/>
        <v>1996</v>
      </c>
      <c r="C96" s="3">
        <f ca="1" t="shared" si="22"/>
        <v>8222</v>
      </c>
      <c r="D96" s="47">
        <f aca="true" ca="1" t="shared" si="25" ref="D96:D101">OFFSET(C$87,0,A97)</f>
        <v>1.086156</v>
      </c>
      <c r="E96" s="3">
        <f t="shared" si="23"/>
        <v>8930.374632</v>
      </c>
    </row>
    <row r="97" spans="1:5" ht="12.75">
      <c r="A97" s="51">
        <f t="shared" si="24"/>
        <v>5</v>
      </c>
      <c r="B97" s="8">
        <f t="shared" si="21"/>
        <v>1997</v>
      </c>
      <c r="C97" s="3">
        <f ca="1" t="shared" si="22"/>
        <v>8941</v>
      </c>
      <c r="D97" s="47">
        <f ca="1" t="shared" si="25"/>
        <v>1.11874068</v>
      </c>
      <c r="E97" s="3">
        <f t="shared" si="23"/>
        <v>10002.66041988</v>
      </c>
    </row>
    <row r="98" spans="1:5" ht="12.75">
      <c r="A98" s="51">
        <f t="shared" si="24"/>
        <v>4</v>
      </c>
      <c r="B98" s="8">
        <f t="shared" si="21"/>
        <v>1998</v>
      </c>
      <c r="C98" s="3">
        <f ca="1" t="shared" si="22"/>
        <v>10638</v>
      </c>
      <c r="D98" s="47">
        <f ca="1" t="shared" si="25"/>
        <v>1.17915267672</v>
      </c>
      <c r="E98" s="3">
        <f t="shared" si="23"/>
        <v>12543.82617494736</v>
      </c>
    </row>
    <row r="99" spans="1:5" ht="12.75">
      <c r="A99" s="51">
        <f t="shared" si="24"/>
        <v>3</v>
      </c>
      <c r="B99" s="8">
        <f t="shared" si="21"/>
        <v>1999</v>
      </c>
      <c r="C99" s="3">
        <f ca="1" t="shared" si="22"/>
        <v>10893</v>
      </c>
      <c r="D99" s="47">
        <f ca="1" t="shared" si="25"/>
        <v>1.4326705022148</v>
      </c>
      <c r="E99" s="3">
        <f t="shared" si="23"/>
        <v>15606.079780625818</v>
      </c>
    </row>
    <row r="100" spans="1:5" ht="12.75">
      <c r="A100" s="51">
        <f t="shared" si="24"/>
        <v>2</v>
      </c>
      <c r="B100" s="8">
        <f t="shared" si="21"/>
        <v>2000</v>
      </c>
      <c r="C100" s="3">
        <f ca="1" t="shared" si="22"/>
        <v>7932</v>
      </c>
      <c r="D100" s="47">
        <f ca="1" t="shared" si="25"/>
        <v>2.0573148411804527</v>
      </c>
      <c r="E100" s="3">
        <f t="shared" si="23"/>
        <v>16318.62132024335</v>
      </c>
    </row>
    <row r="101" spans="1:5" ht="12.75">
      <c r="A101" s="51">
        <f t="shared" si="24"/>
        <v>1</v>
      </c>
      <c r="B101" s="8">
        <f t="shared" si="21"/>
        <v>2001</v>
      </c>
      <c r="C101" s="3">
        <f ca="1" t="shared" si="22"/>
        <v>4370</v>
      </c>
      <c r="D101" s="47">
        <f ca="1" t="shared" si="25"/>
        <v>4.902581266533018</v>
      </c>
      <c r="E101" s="3">
        <f t="shared" si="23"/>
        <v>21424.28013474929</v>
      </c>
    </row>
    <row r="102" ht="12.75">
      <c r="A102" s="30">
        <f>A50</f>
        <v>0</v>
      </c>
    </row>
    <row r="103" spans="2:5" ht="12.75">
      <c r="B103" s="18" t="str">
        <f>B51</f>
        <v>Total</v>
      </c>
      <c r="C103" s="2">
        <f>SUM(C95:C102)</f>
        <v>57949</v>
      </c>
      <c r="E103" s="2">
        <f>SUM(E95:E102)</f>
        <v>92251.64646244583</v>
      </c>
    </row>
    <row r="108" ht="12.75">
      <c r="B108" t="str">
        <f>title1</f>
        <v>Monstertruck Mutual</v>
      </c>
    </row>
    <row r="109" ht="12.75">
      <c r="B109" t="str">
        <f>line&amp;" - Variant Case"</f>
        <v>Commercial Automobile Liability - Variant Case</v>
      </c>
    </row>
    <row r="110" ht="12.75">
      <c r="B110" s="22" t="s">
        <v>40</v>
      </c>
    </row>
    <row r="112" ht="12.75">
      <c r="C112" s="22" t="s">
        <v>34</v>
      </c>
    </row>
    <row r="113" spans="2:3" ht="12.75">
      <c r="B113" s="57" t="s">
        <v>0</v>
      </c>
      <c r="C113" s="22"/>
    </row>
    <row r="114" spans="2:9" ht="12.75">
      <c r="B114" s="56" t="s">
        <v>1</v>
      </c>
      <c r="C114" s="56">
        <v>12</v>
      </c>
      <c r="D114" s="9">
        <f aca="true" t="shared" si="26" ref="D114:I114">C114+12</f>
        <v>24</v>
      </c>
      <c r="E114" s="9">
        <f t="shared" si="26"/>
        <v>36</v>
      </c>
      <c r="F114" s="9">
        <f t="shared" si="26"/>
        <v>48</v>
      </c>
      <c r="G114" s="9">
        <f t="shared" si="26"/>
        <v>60</v>
      </c>
      <c r="H114" s="9">
        <f t="shared" si="26"/>
        <v>72</v>
      </c>
      <c r="I114" s="9">
        <f t="shared" si="26"/>
        <v>84</v>
      </c>
    </row>
    <row r="115" spans="2:9" ht="12.75">
      <c r="B115" s="8">
        <f aca="true" t="shared" si="27" ref="B115:B120">B116-1</f>
        <v>1995</v>
      </c>
      <c r="C115" s="23">
        <v>445</v>
      </c>
      <c r="D115" s="23">
        <v>545</v>
      </c>
      <c r="E115" s="23">
        <v>575</v>
      </c>
      <c r="F115" s="23">
        <v>582</v>
      </c>
      <c r="G115" s="23">
        <v>585</v>
      </c>
      <c r="H115" s="23">
        <v>585</v>
      </c>
      <c r="I115" s="23">
        <v>585</v>
      </c>
    </row>
    <row r="116" spans="2:9" ht="12.75">
      <c r="B116" s="8">
        <f t="shared" si="27"/>
        <v>1996</v>
      </c>
      <c r="C116" s="23">
        <v>544</v>
      </c>
      <c r="D116" s="23">
        <v>635</v>
      </c>
      <c r="E116" s="23">
        <v>674</v>
      </c>
      <c r="F116" s="23">
        <v>680</v>
      </c>
      <c r="G116" s="23">
        <v>682</v>
      </c>
      <c r="H116" s="23">
        <v>682</v>
      </c>
      <c r="I116" s="23"/>
    </row>
    <row r="117" spans="2:9" ht="12.75">
      <c r="B117" s="8">
        <f t="shared" si="27"/>
        <v>1997</v>
      </c>
      <c r="C117" s="23">
        <v>625</v>
      </c>
      <c r="D117" s="23">
        <v>744</v>
      </c>
      <c r="E117" s="23">
        <v>780</v>
      </c>
      <c r="F117" s="23">
        <v>790</v>
      </c>
      <c r="G117" s="23">
        <v>791</v>
      </c>
      <c r="H117" s="23"/>
      <c r="I117" s="23"/>
    </row>
    <row r="118" spans="2:9" ht="12.75">
      <c r="B118" s="8">
        <f t="shared" si="27"/>
        <v>1998</v>
      </c>
      <c r="C118" s="23">
        <v>691</v>
      </c>
      <c r="D118" s="23">
        <v>833</v>
      </c>
      <c r="E118" s="72">
        <v>877</v>
      </c>
      <c r="F118" s="23">
        <v>883</v>
      </c>
      <c r="G118" s="23"/>
      <c r="H118" s="23"/>
      <c r="I118" s="23"/>
    </row>
    <row r="119" spans="2:9" ht="12.75">
      <c r="B119" s="8">
        <f t="shared" si="27"/>
        <v>1999</v>
      </c>
      <c r="C119" s="23">
        <v>785</v>
      </c>
      <c r="D119" s="23">
        <v>924</v>
      </c>
      <c r="E119" s="23">
        <v>972</v>
      </c>
      <c r="F119" s="23"/>
      <c r="G119" s="23"/>
      <c r="H119" s="23"/>
      <c r="I119" s="23"/>
    </row>
    <row r="120" spans="2:9" ht="12.75">
      <c r="B120" s="8">
        <f t="shared" si="27"/>
        <v>2000</v>
      </c>
      <c r="C120" s="23">
        <v>775</v>
      </c>
      <c r="D120" s="23">
        <v>940</v>
      </c>
      <c r="E120" s="23"/>
      <c r="F120" s="23"/>
      <c r="G120" s="23"/>
      <c r="H120" s="23"/>
      <c r="I120" s="23"/>
    </row>
    <row r="121" spans="2:9" ht="12.75">
      <c r="B121" s="57">
        <f>B16</f>
        <v>2001</v>
      </c>
      <c r="C121" s="23">
        <v>935</v>
      </c>
      <c r="D121" s="23"/>
      <c r="E121" s="23"/>
      <c r="F121" s="23"/>
      <c r="G121" s="23"/>
      <c r="H121" s="23"/>
      <c r="I121" s="23"/>
    </row>
    <row r="124" ht="12.75">
      <c r="C124" s="22" t="s">
        <v>35</v>
      </c>
    </row>
    <row r="125" ht="12.75">
      <c r="B125" s="8" t="str">
        <f aca="true" t="shared" si="28" ref="B125:B132">B113</f>
        <v>Accident</v>
      </c>
    </row>
    <row r="126" spans="2:9" ht="12.75">
      <c r="B126" s="9" t="str">
        <f t="shared" si="28"/>
        <v>Year</v>
      </c>
      <c r="C126" s="9" t="str">
        <f aca="true" t="shared" si="29" ref="C126:H126">C114&amp;" - "&amp;D114</f>
        <v>12 - 24</v>
      </c>
      <c r="D126" s="9" t="str">
        <f t="shared" si="29"/>
        <v>24 - 36</v>
      </c>
      <c r="E126" s="9" t="str">
        <f t="shared" si="29"/>
        <v>36 - 48</v>
      </c>
      <c r="F126" s="9" t="str">
        <f t="shared" si="29"/>
        <v>48 - 60</v>
      </c>
      <c r="G126" s="9" t="str">
        <f t="shared" si="29"/>
        <v>60 - 72</v>
      </c>
      <c r="H126" s="9" t="str">
        <f t="shared" si="29"/>
        <v>72 - 84</v>
      </c>
      <c r="I126" s="9" t="str">
        <f>I114&amp;" - ULT"</f>
        <v>84 - ULT</v>
      </c>
    </row>
    <row r="127" spans="2:9" ht="12.75">
      <c r="B127" s="8">
        <f t="shared" si="28"/>
        <v>1995</v>
      </c>
      <c r="C127" s="48">
        <f aca="true" t="shared" si="30" ref="C127:H132">IF(OR(C115=0,D115=""),"",D115/C115)</f>
        <v>1.2247191011235956</v>
      </c>
      <c r="D127" s="48">
        <f t="shared" si="30"/>
        <v>1.055045871559633</v>
      </c>
      <c r="E127" s="48">
        <f t="shared" si="30"/>
        <v>1.0121739130434784</v>
      </c>
      <c r="F127" s="48">
        <f t="shared" si="30"/>
        <v>1.0051546391752577</v>
      </c>
      <c r="G127" s="48">
        <f t="shared" si="30"/>
        <v>1</v>
      </c>
      <c r="H127" s="48">
        <f t="shared" si="30"/>
        <v>1</v>
      </c>
      <c r="I127" s="48"/>
    </row>
    <row r="128" spans="2:9" ht="12.75">
      <c r="B128" s="8">
        <f t="shared" si="28"/>
        <v>1996</v>
      </c>
      <c r="C128" s="49">
        <f t="shared" si="30"/>
        <v>1.1672794117647058</v>
      </c>
      <c r="D128" s="49">
        <f t="shared" si="30"/>
        <v>1.0614173228346457</v>
      </c>
      <c r="E128" s="49">
        <f t="shared" si="30"/>
        <v>1.0089020771513353</v>
      </c>
      <c r="F128" s="49">
        <f t="shared" si="30"/>
        <v>1.0029411764705882</v>
      </c>
      <c r="G128" s="49">
        <f t="shared" si="30"/>
        <v>1</v>
      </c>
      <c r="H128" s="49">
        <f t="shared" si="30"/>
      </c>
      <c r="I128" s="49"/>
    </row>
    <row r="129" spans="2:9" ht="12.75">
      <c r="B129" s="8">
        <f t="shared" si="28"/>
        <v>1997</v>
      </c>
      <c r="C129" s="49">
        <f t="shared" si="30"/>
        <v>1.1904</v>
      </c>
      <c r="D129" s="49">
        <f t="shared" si="30"/>
        <v>1.0483870967741935</v>
      </c>
      <c r="E129" s="49">
        <f t="shared" si="30"/>
        <v>1.0128205128205128</v>
      </c>
      <c r="F129" s="49">
        <f t="shared" si="30"/>
        <v>1.0012658227848101</v>
      </c>
      <c r="G129" s="49">
        <f t="shared" si="30"/>
      </c>
      <c r="H129" s="49">
        <f t="shared" si="30"/>
      </c>
      <c r="I129" s="49"/>
    </row>
    <row r="130" spans="2:9" ht="12.75">
      <c r="B130" s="8">
        <f t="shared" si="28"/>
        <v>1998</v>
      </c>
      <c r="C130" s="49">
        <f t="shared" si="30"/>
        <v>1.2054992764109986</v>
      </c>
      <c r="D130" s="49">
        <f t="shared" si="30"/>
        <v>1.0528211284513807</v>
      </c>
      <c r="E130" s="49">
        <f t="shared" si="30"/>
        <v>1.0068415051311288</v>
      </c>
      <c r="F130" s="49">
        <f t="shared" si="30"/>
      </c>
      <c r="G130" s="49">
        <f t="shared" si="30"/>
      </c>
      <c r="H130" s="49">
        <f t="shared" si="30"/>
      </c>
      <c r="I130" s="49"/>
    </row>
    <row r="131" spans="2:9" ht="12.75">
      <c r="B131" s="8">
        <f t="shared" si="28"/>
        <v>1999</v>
      </c>
      <c r="C131" s="49">
        <f t="shared" si="30"/>
        <v>1.1770700636942675</v>
      </c>
      <c r="D131" s="49">
        <f t="shared" si="30"/>
        <v>1.051948051948052</v>
      </c>
      <c r="E131" s="49">
        <f t="shared" si="30"/>
      </c>
      <c r="F131" s="49">
        <f t="shared" si="30"/>
      </c>
      <c r="G131" s="49">
        <f t="shared" si="30"/>
      </c>
      <c r="H131" s="49">
        <f t="shared" si="30"/>
      </c>
      <c r="I131" s="49"/>
    </row>
    <row r="132" spans="2:9" ht="12.75">
      <c r="B132" s="8">
        <f t="shared" si="28"/>
        <v>2000</v>
      </c>
      <c r="C132" s="49">
        <f t="shared" si="30"/>
        <v>1.2129032258064516</v>
      </c>
      <c r="D132" s="49">
        <f t="shared" si="30"/>
      </c>
      <c r="E132" s="49">
        <f t="shared" si="30"/>
      </c>
      <c r="F132" s="49">
        <f t="shared" si="30"/>
      </c>
      <c r="G132" s="49">
        <f t="shared" si="30"/>
      </c>
      <c r="H132" s="49">
        <f t="shared" si="30"/>
      </c>
      <c r="I132" s="49"/>
    </row>
    <row r="133" ht="12.75">
      <c r="B133" s="8"/>
    </row>
    <row r="134" spans="2:8" ht="12.75">
      <c r="B134" s="21" t="str">
        <f>B81</f>
        <v>All Yr. Avg</v>
      </c>
      <c r="C134" s="14">
        <f aca="true" t="shared" si="31" ref="C134:H134">AVERAGE(C127:C132)</f>
        <v>1.19631184646667</v>
      </c>
      <c r="D134" s="14">
        <f t="shared" si="31"/>
        <v>1.0539238943135811</v>
      </c>
      <c r="E134" s="14">
        <f t="shared" si="31"/>
        <v>1.0101845020366138</v>
      </c>
      <c r="F134" s="14">
        <f t="shared" si="31"/>
        <v>1.003120546143552</v>
      </c>
      <c r="G134" s="14">
        <f t="shared" si="31"/>
        <v>1</v>
      </c>
      <c r="H134" s="14">
        <f t="shared" si="31"/>
        <v>1</v>
      </c>
    </row>
    <row r="135" spans="2:6" ht="12.75">
      <c r="B135" s="21" t="str">
        <f>B82</f>
        <v>Latest 3 Yr Avg</v>
      </c>
      <c r="C135" s="14">
        <f>AVERAGE(C130:C132)</f>
        <v>1.1984908553039058</v>
      </c>
      <c r="D135" s="14">
        <f>AVERAGE(D129:D131)</f>
        <v>1.0510520923912086</v>
      </c>
      <c r="E135" s="14">
        <f>AVERAGE(E128:E130)</f>
        <v>1.0095213650343255</v>
      </c>
      <c r="F135" s="14">
        <f>AVERAGE(F127:F129)</f>
        <v>1.003120546143552</v>
      </c>
    </row>
    <row r="136" spans="2:6" ht="12.75">
      <c r="B136" s="21" t="str">
        <f>B83</f>
        <v>X High/Low</v>
      </c>
      <c r="C136" s="14">
        <f>(SUM(C127:C132)-MIN(C127:C132)-MAX(C127:C132))/(COUNT(C127:C132)-2)</f>
        <v>1.1964681414779297</v>
      </c>
      <c r="D136" s="14">
        <f>(SUM(D127:D132)-MIN(D127:D132)-MAX(D127:D132))/(COUNT(D127:D132)-2)</f>
        <v>1.0532716839863552</v>
      </c>
      <c r="E136" s="14">
        <f>(SUM(E127:E132)-MIN(E127:E132)-MAX(E127:E132))/(COUNT(E127:E132)-2)</f>
        <v>1.010537995097407</v>
      </c>
      <c r="F136" s="14">
        <f>(SUM(F127:F132)-MIN(F127:F132)-MAX(F127:F132))/(COUNT(F127:F132)-2)</f>
        <v>1.0029411764705882</v>
      </c>
    </row>
    <row r="137" spans="2:9" ht="12.75">
      <c r="B137" s="21"/>
      <c r="C137" s="15"/>
      <c r="D137" s="15"/>
      <c r="E137" s="15"/>
      <c r="F137" s="15"/>
      <c r="G137" s="15"/>
      <c r="H137" s="15"/>
      <c r="I137" s="15"/>
    </row>
    <row r="138" spans="2:9" ht="12.75">
      <c r="B138" s="21" t="str">
        <f>B86</f>
        <v>Selected</v>
      </c>
      <c r="C138" s="55">
        <v>1.198</v>
      </c>
      <c r="D138" s="55">
        <v>1.051</v>
      </c>
      <c r="E138" s="55">
        <v>1.01</v>
      </c>
      <c r="F138" s="55">
        <v>1.003</v>
      </c>
      <c r="G138" s="55">
        <v>1</v>
      </c>
      <c r="H138" s="55">
        <v>1</v>
      </c>
      <c r="I138" s="73">
        <v>1</v>
      </c>
    </row>
    <row r="139" spans="2:9" ht="12.75">
      <c r="B139" s="21" t="str">
        <f>B87</f>
        <v>Age to Ult.</v>
      </c>
      <c r="C139" s="47">
        <f aca="true" t="shared" si="32" ref="C139:H139">C138*D139</f>
        <v>1.2755040469399996</v>
      </c>
      <c r="D139" s="47">
        <f t="shared" si="32"/>
        <v>1.0646945299999997</v>
      </c>
      <c r="E139" s="47">
        <f t="shared" si="32"/>
        <v>1.0130299999999999</v>
      </c>
      <c r="F139" s="47">
        <f t="shared" si="32"/>
        <v>1.003</v>
      </c>
      <c r="G139" s="47">
        <f t="shared" si="32"/>
        <v>1</v>
      </c>
      <c r="H139" s="47">
        <f t="shared" si="32"/>
        <v>1</v>
      </c>
      <c r="I139" s="20">
        <f>I138</f>
        <v>1</v>
      </c>
    </row>
    <row r="142" ht="12.75">
      <c r="B142" s="22" t="s">
        <v>39</v>
      </c>
    </row>
    <row r="144" spans="3:5" ht="12.75">
      <c r="C144" s="57" t="s">
        <v>37</v>
      </c>
      <c r="D144" s="22"/>
      <c r="E144" s="57" t="s">
        <v>28</v>
      </c>
    </row>
    <row r="145" spans="2:5" ht="12.75">
      <c r="B145" s="8" t="str">
        <f>B125</f>
        <v>Accident</v>
      </c>
      <c r="C145" s="57" t="s">
        <v>38</v>
      </c>
      <c r="D145" s="57" t="s">
        <v>26</v>
      </c>
      <c r="E145" s="57" t="s">
        <v>29</v>
      </c>
    </row>
    <row r="146" spans="2:5" ht="12.75">
      <c r="B146" s="9" t="str">
        <f>B126</f>
        <v>Year</v>
      </c>
      <c r="C146" s="56" t="str">
        <f>"at "&amp;TEXT(curreval,"m/d/yy")</f>
        <v>at 12/31/01</v>
      </c>
      <c r="D146" s="56" t="s">
        <v>27</v>
      </c>
      <c r="E146" s="56" t="s">
        <v>38</v>
      </c>
    </row>
    <row r="147" spans="2:5" ht="12.75">
      <c r="B147" s="8">
        <f aca="true" t="shared" si="33" ref="B147:B153">B115</f>
        <v>1995</v>
      </c>
      <c r="C147" s="3">
        <f aca="true" ca="1" t="shared" si="34" ref="C147:C153">OFFSET(C$121,-A148,A148)</f>
        <v>585</v>
      </c>
      <c r="D147" s="47">
        <f aca="true" ca="1" t="shared" si="35" ref="D147:D153">OFFSET(C$139,0,A148)</f>
        <v>1</v>
      </c>
      <c r="E147" s="3">
        <f aca="true" t="shared" si="36" ref="E147:E152">D147*C147</f>
        <v>585</v>
      </c>
    </row>
    <row r="148" spans="1:5" ht="12.75">
      <c r="A148" s="51">
        <f aca="true" t="shared" si="37" ref="A148:A153">A149+1</f>
        <v>6</v>
      </c>
      <c r="B148" s="8">
        <f t="shared" si="33"/>
        <v>1996</v>
      </c>
      <c r="C148" s="3">
        <f ca="1" t="shared" si="34"/>
        <v>682</v>
      </c>
      <c r="D148" s="47">
        <f ca="1" t="shared" si="35"/>
        <v>1</v>
      </c>
      <c r="E148" s="3">
        <f t="shared" si="36"/>
        <v>682</v>
      </c>
    </row>
    <row r="149" spans="1:5" ht="12.75">
      <c r="A149" s="51">
        <f t="shared" si="37"/>
        <v>5</v>
      </c>
      <c r="B149" s="8">
        <f t="shared" si="33"/>
        <v>1997</v>
      </c>
      <c r="C149" s="3">
        <f ca="1" t="shared" si="34"/>
        <v>791</v>
      </c>
      <c r="D149" s="47">
        <f ca="1" t="shared" si="35"/>
        <v>1</v>
      </c>
      <c r="E149" s="3">
        <f t="shared" si="36"/>
        <v>791</v>
      </c>
    </row>
    <row r="150" spans="1:5" ht="12.75">
      <c r="A150" s="51">
        <f t="shared" si="37"/>
        <v>4</v>
      </c>
      <c r="B150" s="8">
        <f t="shared" si="33"/>
        <v>1998</v>
      </c>
      <c r="C150" s="3">
        <f ca="1" t="shared" si="34"/>
        <v>883</v>
      </c>
      <c r="D150" s="47">
        <f ca="1" t="shared" si="35"/>
        <v>1.003</v>
      </c>
      <c r="E150" s="3">
        <f t="shared" si="36"/>
        <v>885.6489999999999</v>
      </c>
    </row>
    <row r="151" spans="1:5" ht="12.75">
      <c r="A151" s="51">
        <f t="shared" si="37"/>
        <v>3</v>
      </c>
      <c r="B151" s="8">
        <f t="shared" si="33"/>
        <v>1999</v>
      </c>
      <c r="C151" s="3">
        <f ca="1" t="shared" si="34"/>
        <v>972</v>
      </c>
      <c r="D151" s="47">
        <f ca="1" t="shared" si="35"/>
        <v>1.0130299999999999</v>
      </c>
      <c r="E151" s="3">
        <f t="shared" si="36"/>
        <v>984.6651599999999</v>
      </c>
    </row>
    <row r="152" spans="1:5" ht="12.75">
      <c r="A152" s="51">
        <f t="shared" si="37"/>
        <v>2</v>
      </c>
      <c r="B152" s="8">
        <f t="shared" si="33"/>
        <v>2000</v>
      </c>
      <c r="C152" s="3">
        <f ca="1" t="shared" si="34"/>
        <v>940</v>
      </c>
      <c r="D152" s="47">
        <f ca="1" t="shared" si="35"/>
        <v>1.0646945299999997</v>
      </c>
      <c r="E152" s="3">
        <f t="shared" si="36"/>
        <v>1000.8128581999997</v>
      </c>
    </row>
    <row r="153" spans="1:5" ht="12.75">
      <c r="A153" s="51">
        <f t="shared" si="37"/>
        <v>1</v>
      </c>
      <c r="B153" s="8">
        <f t="shared" si="33"/>
        <v>2001</v>
      </c>
      <c r="C153" s="3">
        <f ca="1" t="shared" si="34"/>
        <v>935</v>
      </c>
      <c r="D153" s="47">
        <f ca="1" t="shared" si="35"/>
        <v>1.2755040469399996</v>
      </c>
      <c r="E153" s="3">
        <f>C139*C153</f>
        <v>1192.5962838888997</v>
      </c>
    </row>
    <row r="154" ht="12.75">
      <c r="A154" s="30">
        <f>A102</f>
        <v>0</v>
      </c>
    </row>
    <row r="155" spans="2:5" ht="12.75">
      <c r="B155" s="18" t="str">
        <f>B103</f>
        <v>Total</v>
      </c>
      <c r="C155" s="2">
        <f>SUM(C147:C154)</f>
        <v>5788</v>
      </c>
      <c r="E155" s="2">
        <f>SUM(E147:E154)</f>
        <v>6121.7233020889</v>
      </c>
    </row>
    <row r="160" ht="12.75">
      <c r="B160" t="str">
        <f>title1</f>
        <v>Monstertruck Mutual</v>
      </c>
    </row>
    <row r="161" ht="12.75">
      <c r="B161" t="str">
        <f>line&amp;" - Variant Case"</f>
        <v>Commercial Automobile Liability - Variant Case</v>
      </c>
    </row>
    <row r="162" ht="12.75">
      <c r="B162" s="22" t="str">
        <f>B110</f>
        <v>Reported Counts and Averages Method</v>
      </c>
    </row>
    <row r="164" ht="12.75">
      <c r="C164" s="22" t="s">
        <v>41</v>
      </c>
    </row>
    <row r="165" spans="2:3" ht="12.75">
      <c r="B165" s="57" t="s">
        <v>0</v>
      </c>
      <c r="C165" s="22"/>
    </row>
    <row r="166" spans="2:9" ht="12.75">
      <c r="B166" s="56" t="s">
        <v>1</v>
      </c>
      <c r="C166" s="56">
        <v>12</v>
      </c>
      <c r="D166" s="9">
        <f aca="true" t="shared" si="38" ref="D166:I166">C166+12</f>
        <v>24</v>
      </c>
      <c r="E166" s="9">
        <f t="shared" si="38"/>
        <v>36</v>
      </c>
      <c r="F166" s="9">
        <f t="shared" si="38"/>
        <v>48</v>
      </c>
      <c r="G166" s="9">
        <f t="shared" si="38"/>
        <v>60</v>
      </c>
      <c r="H166" s="9">
        <f t="shared" si="38"/>
        <v>72</v>
      </c>
      <c r="I166" s="9">
        <f t="shared" si="38"/>
        <v>84</v>
      </c>
    </row>
    <row r="167" spans="2:9" ht="12.75">
      <c r="B167" s="8">
        <f aca="true" t="shared" si="39" ref="B167:B172">B168-1</f>
        <v>1995</v>
      </c>
      <c r="C167" s="23">
        <f aca="true" t="shared" si="40" ref="C167:I171">IF(OR(C115=0,C115="",C10=""),"",C10/C115*1000)</f>
        <v>9869.662921348316</v>
      </c>
      <c r="D167" s="23">
        <f t="shared" si="40"/>
        <v>10677.064220183487</v>
      </c>
      <c r="E167" s="23">
        <f t="shared" si="40"/>
        <v>11396.521739130436</v>
      </c>
      <c r="F167" s="23">
        <f t="shared" si="40"/>
        <v>11991.408934707904</v>
      </c>
      <c r="G167" s="23">
        <f t="shared" si="40"/>
        <v>12323.076923076924</v>
      </c>
      <c r="H167" s="23">
        <f t="shared" si="40"/>
        <v>12507.692307692309</v>
      </c>
      <c r="I167" s="23">
        <f t="shared" si="40"/>
        <v>12533.333333333334</v>
      </c>
    </row>
    <row r="168" spans="2:9" ht="12.75">
      <c r="B168" s="8">
        <f t="shared" si="39"/>
        <v>1996</v>
      </c>
      <c r="C168" s="23">
        <f t="shared" si="40"/>
        <v>9406.25</v>
      </c>
      <c r="D168" s="23">
        <f t="shared" si="40"/>
        <v>10886.614173228347</v>
      </c>
      <c r="E168" s="23">
        <f t="shared" si="40"/>
        <v>11795.252225519289</v>
      </c>
      <c r="F168" s="23">
        <f t="shared" si="40"/>
        <v>12351.470588235294</v>
      </c>
      <c r="G168" s="23">
        <f t="shared" si="40"/>
        <v>12797.65395894428</v>
      </c>
      <c r="H168" s="23">
        <f t="shared" si="40"/>
        <v>13225.806451612903</v>
      </c>
      <c r="I168" s="23">
        <f t="shared" si="40"/>
      </c>
    </row>
    <row r="169" spans="2:9" ht="12.75">
      <c r="B169" s="8">
        <f t="shared" si="39"/>
        <v>1997</v>
      </c>
      <c r="C169" s="23">
        <f t="shared" si="40"/>
        <v>9332.800000000001</v>
      </c>
      <c r="D169" s="23">
        <f t="shared" si="40"/>
        <v>10482.52688172043</v>
      </c>
      <c r="E169" s="23">
        <f t="shared" si="40"/>
        <v>11388.461538461537</v>
      </c>
      <c r="F169" s="23">
        <f t="shared" si="40"/>
        <v>11821.518987341771</v>
      </c>
      <c r="G169" s="23">
        <f t="shared" si="40"/>
        <v>12410.872313527181</v>
      </c>
      <c r="H169" s="23">
        <f t="shared" si="40"/>
      </c>
      <c r="I169" s="23">
        <f t="shared" si="40"/>
      </c>
    </row>
    <row r="170" spans="2:9" ht="12.75">
      <c r="B170" s="8">
        <f t="shared" si="39"/>
        <v>1998</v>
      </c>
      <c r="C170" s="23">
        <f t="shared" si="40"/>
        <v>10002.894356005789</v>
      </c>
      <c r="D170" s="23">
        <f t="shared" si="40"/>
        <v>11683.073229291716</v>
      </c>
      <c r="E170" s="23">
        <f t="shared" si="40"/>
        <v>12583.808437856329</v>
      </c>
      <c r="F170" s="23">
        <f t="shared" si="40"/>
        <v>13617.214043035106</v>
      </c>
      <c r="G170" s="23">
        <f t="shared" si="40"/>
      </c>
      <c r="H170" s="23">
        <f t="shared" si="40"/>
      </c>
      <c r="I170" s="23">
        <f t="shared" si="40"/>
      </c>
    </row>
    <row r="171" spans="2:9" ht="12.75">
      <c r="B171" s="8">
        <f t="shared" si="39"/>
        <v>1999</v>
      </c>
      <c r="C171" s="23">
        <f t="shared" si="40"/>
        <v>10477.707006369426</v>
      </c>
      <c r="D171" s="23">
        <f t="shared" si="40"/>
        <v>12756.493506493505</v>
      </c>
      <c r="E171" s="23">
        <f t="shared" si="40"/>
        <v>14446.502057613168</v>
      </c>
      <c r="F171" s="23">
        <f t="shared" si="40"/>
      </c>
      <c r="G171" s="23">
        <f t="shared" si="40"/>
      </c>
      <c r="H171" s="23">
        <f t="shared" si="40"/>
      </c>
      <c r="I171" s="23">
        <f t="shared" si="40"/>
      </c>
    </row>
    <row r="172" spans="2:9" ht="12.75">
      <c r="B172" s="8">
        <f t="shared" si="39"/>
        <v>2000</v>
      </c>
      <c r="C172" s="23">
        <f>IF(OR(C120=0,C120="",C15=""),"",D15/C27/C120*1000)</f>
        <v>11587.09677419355</v>
      </c>
      <c r="D172" s="23">
        <f aca="true" t="shared" si="41" ref="D172:I173">IF(OR(D120=0,D120="",D15=""),"",D15/D120*1000)</f>
        <v>15007.446808510638</v>
      </c>
      <c r="E172" s="23">
        <f t="shared" si="41"/>
      </c>
      <c r="F172" s="23">
        <f t="shared" si="41"/>
      </c>
      <c r="G172" s="23">
        <f t="shared" si="41"/>
      </c>
      <c r="H172" s="23">
        <f t="shared" si="41"/>
      </c>
      <c r="I172" s="23">
        <f t="shared" si="41"/>
      </c>
    </row>
    <row r="173" spans="2:9" ht="12.75">
      <c r="B173" s="57">
        <f>B16</f>
        <v>2001</v>
      </c>
      <c r="C173" s="23">
        <f>IF(OR(C121=0,C121="",C16=""),"",C16/C121*1000)</f>
        <v>14097.326203208557</v>
      </c>
      <c r="D173" s="23">
        <f t="shared" si="41"/>
      </c>
      <c r="E173" s="23">
        <f t="shared" si="41"/>
      </c>
      <c r="F173" s="23">
        <f t="shared" si="41"/>
      </c>
      <c r="G173" s="23">
        <f t="shared" si="41"/>
      </c>
      <c r="H173" s="23">
        <f t="shared" si="41"/>
      </c>
      <c r="I173" s="23">
        <f t="shared" si="41"/>
      </c>
    </row>
    <row r="176" ht="12.75">
      <c r="C176" s="22" t="s">
        <v>61</v>
      </c>
    </row>
    <row r="177" ht="12.75">
      <c r="B177" s="8" t="str">
        <f aca="true" t="shared" si="42" ref="B177:B184">B165</f>
        <v>Accident</v>
      </c>
    </row>
    <row r="178" spans="2:9" ht="12.75">
      <c r="B178" s="9" t="str">
        <f t="shared" si="42"/>
        <v>Year</v>
      </c>
      <c r="C178" s="9" t="str">
        <f aca="true" t="shared" si="43" ref="C178:H178">C166&amp;" - "&amp;D166</f>
        <v>12 - 24</v>
      </c>
      <c r="D178" s="9" t="str">
        <f t="shared" si="43"/>
        <v>24 - 36</v>
      </c>
      <c r="E178" s="9" t="str">
        <f t="shared" si="43"/>
        <v>36 - 48</v>
      </c>
      <c r="F178" s="9" t="str">
        <f t="shared" si="43"/>
        <v>48 - 60</v>
      </c>
      <c r="G178" s="9" t="str">
        <f t="shared" si="43"/>
        <v>60 - 72</v>
      </c>
      <c r="H178" s="9" t="str">
        <f t="shared" si="43"/>
        <v>72 - 84</v>
      </c>
      <c r="I178" s="9" t="str">
        <f>I166&amp;" - ULT"</f>
        <v>84 - ULT</v>
      </c>
    </row>
    <row r="179" spans="2:9" ht="12.75">
      <c r="B179" s="8">
        <f t="shared" si="42"/>
        <v>1995</v>
      </c>
      <c r="C179" s="48">
        <f aca="true" t="shared" si="44" ref="C179:H180">IF(OR(C167=0,D167=""),"",D167/C167)</f>
        <v>1.0818063702144014</v>
      </c>
      <c r="D179" s="48">
        <f t="shared" si="44"/>
        <v>1.067383458983689</v>
      </c>
      <c r="E179" s="48">
        <f t="shared" si="44"/>
        <v>1.0521990138039135</v>
      </c>
      <c r="F179" s="48">
        <f t="shared" si="44"/>
        <v>1.0276588005775569</v>
      </c>
      <c r="G179" s="48">
        <f t="shared" si="44"/>
        <v>1.0149812734082397</v>
      </c>
      <c r="H179" s="48">
        <f t="shared" si="44"/>
        <v>1.002050020500205</v>
      </c>
      <c r="I179" s="48"/>
    </row>
    <row r="180" spans="2:9" ht="12.75">
      <c r="B180" s="8">
        <f t="shared" si="42"/>
        <v>1996</v>
      </c>
      <c r="C180" s="49">
        <f t="shared" si="44"/>
        <v>1.1573809087817513</v>
      </c>
      <c r="D180" s="49">
        <f t="shared" si="44"/>
        <v>1.0834637875314261</v>
      </c>
      <c r="E180" s="49">
        <f t="shared" si="44"/>
        <v>1.047156122826489</v>
      </c>
      <c r="F180" s="49">
        <f t="shared" si="44"/>
        <v>1.0361239066653305</v>
      </c>
      <c r="G180" s="49">
        <f t="shared" si="44"/>
        <v>1.0334555453712193</v>
      </c>
      <c r="H180" s="49">
        <f t="shared" si="44"/>
      </c>
      <c r="I180" s="49"/>
    </row>
    <row r="181" spans="2:9" ht="12.75">
      <c r="B181" s="8">
        <f t="shared" si="42"/>
        <v>1997</v>
      </c>
      <c r="C181" s="49">
        <f>IF(OR(C169=0,D169=""),"",D169/C169)</f>
        <v>1.1231920625879082</v>
      </c>
      <c r="D181" s="49">
        <f>IF(OR(D169=0,E169=""),"",11388/D169)</f>
        <v>1.0863792793947942</v>
      </c>
      <c r="E181" s="49">
        <f>IF(OR(E169=0,F169=""),"",F169/11388)</f>
        <v>1.0380680529804858</v>
      </c>
      <c r="F181" s="49">
        <f aca="true" t="shared" si="45" ref="F181:H184">IF(OR(F169=0,G169=""),"",G169/F169)</f>
        <v>1.0498542807245395</v>
      </c>
      <c r="G181" s="49">
        <f t="shared" si="45"/>
      </c>
      <c r="H181" s="49">
        <f t="shared" si="45"/>
      </c>
      <c r="I181" s="49"/>
    </row>
    <row r="182" spans="2:9" ht="12.75">
      <c r="B182" s="8">
        <f t="shared" si="42"/>
        <v>1998</v>
      </c>
      <c r="C182" s="49">
        <f>IF(OR(C170=0,D170=""),"",D170/C170)</f>
        <v>1.16796927104175</v>
      </c>
      <c r="D182" s="49">
        <f aca="true" t="shared" si="46" ref="D182:E184">IF(OR(D170=0,E170=""),"",E170/D170)</f>
        <v>1.077097454658274</v>
      </c>
      <c r="E182" s="49">
        <f t="shared" si="46"/>
        <v>1.0821218481099844</v>
      </c>
      <c r="F182" s="49">
        <f t="shared" si="45"/>
      </c>
      <c r="G182" s="49">
        <f t="shared" si="45"/>
      </c>
      <c r="H182" s="49">
        <f t="shared" si="45"/>
      </c>
      <c r="I182" s="49"/>
    </row>
    <row r="183" spans="2:9" ht="12.75">
      <c r="B183" s="8">
        <f t="shared" si="42"/>
        <v>1999</v>
      </c>
      <c r="C183" s="49">
        <f>IF(OR(C171=0,D171=""),"",D171/C171)</f>
        <v>1.2174890459084988</v>
      </c>
      <c r="D183" s="49">
        <f t="shared" si="46"/>
        <v>1.1324822178022032</v>
      </c>
      <c r="E183" s="49">
        <f t="shared" si="46"/>
      </c>
      <c r="F183" s="49">
        <f t="shared" si="45"/>
      </c>
      <c r="G183" s="49">
        <f t="shared" si="45"/>
      </c>
      <c r="H183" s="49">
        <f t="shared" si="45"/>
      </c>
      <c r="I183" s="49"/>
    </row>
    <row r="184" spans="2:9" ht="12.75">
      <c r="B184" s="8">
        <f t="shared" si="42"/>
        <v>2000</v>
      </c>
      <c r="C184" s="49">
        <f>IF(OR(C172=0,D172=""),"",D172/C172)</f>
        <v>1.2951861109794816</v>
      </c>
      <c r="D184" s="49">
        <f t="shared" si="46"/>
      </c>
      <c r="E184" s="49">
        <f t="shared" si="46"/>
      </c>
      <c r="F184" s="49">
        <f t="shared" si="45"/>
      </c>
      <c r="G184" s="49">
        <f t="shared" si="45"/>
      </c>
      <c r="H184" s="49">
        <f t="shared" si="45"/>
      </c>
      <c r="I184" s="49"/>
    </row>
    <row r="185" ht="12.75">
      <c r="B185" s="8"/>
    </row>
    <row r="186" spans="2:8" ht="12.75">
      <c r="B186" s="21" t="str">
        <f>B134</f>
        <v>All Yr. Avg</v>
      </c>
      <c r="C186" s="14">
        <f aca="true" t="shared" si="47" ref="C186:H186">AVERAGE(C179:C184)</f>
        <v>1.1738372949189653</v>
      </c>
      <c r="D186" s="14">
        <f t="shared" si="47"/>
        <v>1.0893612396740773</v>
      </c>
      <c r="E186" s="14">
        <f t="shared" si="47"/>
        <v>1.054886259430218</v>
      </c>
      <c r="F186" s="14">
        <f t="shared" si="47"/>
        <v>1.0378789959891421</v>
      </c>
      <c r="G186" s="14">
        <f t="shared" si="47"/>
        <v>1.0242184093897295</v>
      </c>
      <c r="H186" s="14">
        <f t="shared" si="47"/>
        <v>1.002050020500205</v>
      </c>
    </row>
    <row r="187" spans="2:6" ht="12.75">
      <c r="B187" s="21" t="str">
        <f>B135</f>
        <v>Latest 3 Yr Avg</v>
      </c>
      <c r="C187" s="14">
        <f>AVERAGE(C182:C184)</f>
        <v>1.226881475976577</v>
      </c>
      <c r="D187" s="14">
        <f>AVERAGE(D181:D183)</f>
        <v>1.0986529839517571</v>
      </c>
      <c r="E187" s="14">
        <f>AVERAGE(E180:E182)</f>
        <v>1.0557820079723197</v>
      </c>
      <c r="F187" s="14">
        <f>AVERAGE(F179:F181)</f>
        <v>1.0378789959891421</v>
      </c>
    </row>
    <row r="188" spans="2:6" ht="12.75">
      <c r="B188" s="21" t="str">
        <f>B136</f>
        <v>X High/Low</v>
      </c>
      <c r="C188" s="14">
        <f>(SUM(C179:C184)-MIN(C179:C184)-MAX(C179:C184))/(COUNT(C179:C184)-2)</f>
        <v>1.166507822079977</v>
      </c>
      <c r="D188" s="14">
        <f>(SUM(D179:D184)-MIN(D179:D184)-MAX(D179:D184))/(COUNT(D179:D184)-2)</f>
        <v>1.0823135071948313</v>
      </c>
      <c r="E188" s="14">
        <f>(SUM(E179:E184)-MIN(E179:E184)-MAX(E179:E184))/(COUNT(E179:E184)-2)</f>
        <v>1.0496775683152009</v>
      </c>
      <c r="F188" s="14">
        <f>(SUM(F179:F184)-MIN(F179:F184)-MAX(F179:F184))/(COUNT(F179:F184)-2)</f>
        <v>1.0361239066653303</v>
      </c>
    </row>
    <row r="189" spans="2:9" ht="12.75">
      <c r="B189" s="21"/>
      <c r="C189" s="15"/>
      <c r="D189" s="15"/>
      <c r="E189" s="15"/>
      <c r="F189" s="15"/>
      <c r="G189" s="15"/>
      <c r="H189" s="15"/>
      <c r="I189" s="15"/>
    </row>
    <row r="190" spans="2:9" ht="12.75">
      <c r="B190" s="21" t="str">
        <f>B138</f>
        <v>Selected</v>
      </c>
      <c r="C190" s="55">
        <v>1.227</v>
      </c>
      <c r="D190" s="55">
        <v>1.099</v>
      </c>
      <c r="E190" s="55">
        <v>1.056</v>
      </c>
      <c r="F190" s="55">
        <v>1.038</v>
      </c>
      <c r="G190" s="55">
        <v>1.024</v>
      </c>
      <c r="H190" s="55">
        <v>1.002</v>
      </c>
      <c r="I190" s="73">
        <v>1.013</v>
      </c>
    </row>
    <row r="191" spans="2:9" ht="12.75">
      <c r="B191" s="21" t="str">
        <f>B139</f>
        <v>Age to Ult.</v>
      </c>
      <c r="C191" s="47">
        <f aca="true" t="shared" si="48" ref="C191:H191">C190*D191</f>
        <v>1.5363163425858424</v>
      </c>
      <c r="D191" s="47">
        <f t="shared" si="48"/>
        <v>1.2520915587496677</v>
      </c>
      <c r="E191" s="47">
        <f t="shared" si="48"/>
        <v>1.1393007813918723</v>
      </c>
      <c r="F191" s="47">
        <f t="shared" si="48"/>
        <v>1.0788833157120001</v>
      </c>
      <c r="G191" s="47">
        <f t="shared" si="48"/>
        <v>1.039386624</v>
      </c>
      <c r="H191" s="47">
        <f t="shared" si="48"/>
        <v>1.015026</v>
      </c>
      <c r="I191" s="20">
        <f>I190</f>
        <v>1.013</v>
      </c>
    </row>
    <row r="194" ht="12.75">
      <c r="B194" s="4"/>
    </row>
    <row r="195" spans="3:7" ht="12.75">
      <c r="C195" s="22"/>
      <c r="D195" s="22"/>
      <c r="E195" s="57" t="s">
        <v>28</v>
      </c>
      <c r="F195" s="57" t="s">
        <v>28</v>
      </c>
      <c r="G195" s="57" t="s">
        <v>28</v>
      </c>
    </row>
    <row r="196" spans="3:7" ht="12.75">
      <c r="C196" s="57" t="s">
        <v>42</v>
      </c>
      <c r="D196" s="22"/>
      <c r="E196" s="57" t="s">
        <v>29</v>
      </c>
      <c r="F196" s="57" t="s">
        <v>29</v>
      </c>
      <c r="G196" s="57" t="s">
        <v>29</v>
      </c>
    </row>
    <row r="197" spans="2:7" ht="12.75">
      <c r="B197" s="8" t="str">
        <f>B177</f>
        <v>Accident</v>
      </c>
      <c r="C197" s="57" t="s">
        <v>43</v>
      </c>
      <c r="D197" s="57" t="s">
        <v>26</v>
      </c>
      <c r="E197" s="57" t="s">
        <v>42</v>
      </c>
      <c r="F197" s="57" t="s">
        <v>44</v>
      </c>
      <c r="G197" s="57" t="s">
        <v>46</v>
      </c>
    </row>
    <row r="198" spans="2:7" ht="12.75">
      <c r="B198" s="9" t="str">
        <f>B178</f>
        <v>Year</v>
      </c>
      <c r="C198" s="56" t="str">
        <f>"at "&amp;TEXT(curreval,"m/d/yy")</f>
        <v>at 12/31/01</v>
      </c>
      <c r="D198" s="56" t="s">
        <v>27</v>
      </c>
      <c r="E198" s="56" t="s">
        <v>43</v>
      </c>
      <c r="F198" s="56" t="s">
        <v>45</v>
      </c>
      <c r="G198" s="74" t="s">
        <v>47</v>
      </c>
    </row>
    <row r="199" spans="2:7" ht="12.75">
      <c r="B199" s="8">
        <f aca="true" t="shared" si="49" ref="B199:B205">B167</f>
        <v>1995</v>
      </c>
      <c r="C199" s="3">
        <f aca="true" ca="1" t="shared" si="50" ref="C199:C205">OFFSET(C$173,-A200,A200)</f>
        <v>12533.333333333334</v>
      </c>
      <c r="D199" s="47">
        <f aca="true" ca="1" t="shared" si="51" ref="D199:D205">OFFSET(C$191,0,A200)</f>
        <v>1.013</v>
      </c>
      <c r="E199" s="3">
        <f aca="true" t="shared" si="52" ref="E199:E204">D199*C199</f>
        <v>12696.266666666666</v>
      </c>
      <c r="F199" s="2">
        <f aca="true" t="shared" si="53" ref="F199:F205">E147</f>
        <v>585</v>
      </c>
      <c r="G199" s="3">
        <f aca="true" t="shared" si="54" ref="G199:G205">F199*E199/1000</f>
        <v>7427.316</v>
      </c>
    </row>
    <row r="200" spans="1:7" ht="12.75">
      <c r="A200" s="51">
        <f aca="true" t="shared" si="55" ref="A200:A205">A201+1</f>
        <v>6</v>
      </c>
      <c r="B200" s="8">
        <f t="shared" si="49"/>
        <v>1996</v>
      </c>
      <c r="C200" s="3">
        <f ca="1" t="shared" si="50"/>
        <v>13225.806451612903</v>
      </c>
      <c r="D200" s="47">
        <f ca="1" t="shared" si="51"/>
        <v>1.015026</v>
      </c>
      <c r="E200" s="3">
        <f t="shared" si="52"/>
        <v>13424.537419354838</v>
      </c>
      <c r="F200" s="2">
        <f t="shared" si="53"/>
        <v>682</v>
      </c>
      <c r="G200" s="3">
        <f t="shared" si="54"/>
        <v>9155.53452</v>
      </c>
    </row>
    <row r="201" spans="1:7" ht="12.75">
      <c r="A201" s="51">
        <f t="shared" si="55"/>
        <v>5</v>
      </c>
      <c r="B201" s="8">
        <f t="shared" si="49"/>
        <v>1997</v>
      </c>
      <c r="C201" s="3">
        <f ca="1" t="shared" si="50"/>
        <v>12410.872313527181</v>
      </c>
      <c r="D201" s="47">
        <f ca="1" t="shared" si="51"/>
        <v>1.039386624</v>
      </c>
      <c r="E201" s="3">
        <f t="shared" si="52"/>
        <v>12899.694674852088</v>
      </c>
      <c r="F201" s="2">
        <f t="shared" si="53"/>
        <v>791</v>
      </c>
      <c r="G201" s="3">
        <f t="shared" si="54"/>
        <v>10203.658487808003</v>
      </c>
    </row>
    <row r="202" spans="1:7" ht="12.75">
      <c r="A202" s="51">
        <f t="shared" si="55"/>
        <v>4</v>
      </c>
      <c r="B202" s="8">
        <f t="shared" si="49"/>
        <v>1998</v>
      </c>
      <c r="C202" s="3">
        <f ca="1" t="shared" si="50"/>
        <v>13617.214043035106</v>
      </c>
      <c r="D202" s="47">
        <f ca="1" t="shared" si="51"/>
        <v>1.0788833157120001</v>
      </c>
      <c r="E202" s="3">
        <f t="shared" si="52"/>
        <v>14691.385037509726</v>
      </c>
      <c r="F202" s="2">
        <f t="shared" si="53"/>
        <v>885.6489999999999</v>
      </c>
      <c r="G202" s="3">
        <f t="shared" si="54"/>
        <v>13011.410467085449</v>
      </c>
    </row>
    <row r="203" spans="1:7" ht="12.75">
      <c r="A203" s="51">
        <f t="shared" si="55"/>
        <v>3</v>
      </c>
      <c r="B203" s="8">
        <f t="shared" si="49"/>
        <v>1999</v>
      </c>
      <c r="C203" s="3">
        <f ca="1" t="shared" si="50"/>
        <v>14446.502057613168</v>
      </c>
      <c r="D203" s="47">
        <f ca="1" t="shared" si="51"/>
        <v>1.1393007813918723</v>
      </c>
      <c r="E203" s="3">
        <f t="shared" si="52"/>
        <v>16458.911082617975</v>
      </c>
      <c r="F203" s="2">
        <f t="shared" si="53"/>
        <v>984.6651599999999</v>
      </c>
      <c r="G203" s="3">
        <f t="shared" si="54"/>
        <v>16206.5163145918</v>
      </c>
    </row>
    <row r="204" spans="1:7" ht="12.75">
      <c r="A204" s="51">
        <f t="shared" si="55"/>
        <v>2</v>
      </c>
      <c r="B204" s="8">
        <f t="shared" si="49"/>
        <v>2000</v>
      </c>
      <c r="C204" s="3">
        <f ca="1" t="shared" si="50"/>
        <v>15007.446808510638</v>
      </c>
      <c r="D204" s="47">
        <f ca="1" t="shared" si="51"/>
        <v>1.2520915587496677</v>
      </c>
      <c r="E204" s="3">
        <f t="shared" si="52"/>
        <v>18790.69746732081</v>
      </c>
      <c r="F204" s="2">
        <f t="shared" si="53"/>
        <v>1000.8128581999997</v>
      </c>
      <c r="G204" s="3">
        <f t="shared" si="54"/>
        <v>18805.971639840835</v>
      </c>
    </row>
    <row r="205" spans="1:7" ht="12.75">
      <c r="A205" s="51">
        <f t="shared" si="55"/>
        <v>1</v>
      </c>
      <c r="B205" s="8">
        <f t="shared" si="49"/>
        <v>2001</v>
      </c>
      <c r="C205" s="3">
        <f ca="1" t="shared" si="50"/>
        <v>14097.326203208557</v>
      </c>
      <c r="D205" s="47">
        <f ca="1" t="shared" si="51"/>
        <v>1.5363163425858424</v>
      </c>
      <c r="E205" s="3">
        <f>C191*C205</f>
        <v>21657.95263275293</v>
      </c>
      <c r="F205" s="2">
        <f t="shared" si="53"/>
        <v>1192.5962838888997</v>
      </c>
      <c r="G205" s="3">
        <f t="shared" si="54"/>
        <v>25829.193826462957</v>
      </c>
    </row>
    <row r="206" ht="12.75">
      <c r="A206" s="30">
        <f>A154</f>
        <v>0</v>
      </c>
    </row>
    <row r="207" spans="2:8" ht="12.75">
      <c r="B207" s="18" t="str">
        <f>B155</f>
        <v>Total</v>
      </c>
      <c r="C207" s="2">
        <f>SUM(C199:C206)</f>
        <v>95338.50121084088</v>
      </c>
      <c r="E207" s="2">
        <f>SUM(E199:E206)</f>
        <v>110619.44498107502</v>
      </c>
      <c r="F207" s="2">
        <f>SUM(F199:F206)</f>
        <v>6121.7233020889</v>
      </c>
      <c r="G207" s="3">
        <f>SUMPRODUCT(E199:E205,F199:F205)/1000</f>
        <v>100639.60125578904</v>
      </c>
      <c r="H207" s="2"/>
    </row>
  </sheetData>
  <printOptions horizontalCentered="1"/>
  <pageMargins left="0.25" right="0.25" top="0.5" bottom="0.5" header="0.25" footer="0.25"/>
  <pageSetup blackAndWhite="1"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42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13.7109375" style="0" customWidth="1"/>
    <col min="3" max="3" width="10.421875" style="0" bestFit="1" customWidth="1"/>
    <col min="4" max="4" width="9.28125" style="0" customWidth="1"/>
    <col min="5" max="5" width="10.28125" style="0" bestFit="1" customWidth="1"/>
    <col min="6" max="9" width="9.28125" style="0" customWidth="1"/>
  </cols>
  <sheetData>
    <row r="4" spans="2:13" ht="12.75">
      <c r="B4" t="str">
        <f>title1</f>
        <v>Monstertruck Mutual</v>
      </c>
      <c r="M4" t="str">
        <f>title1</f>
        <v>Monstertruck Mutual</v>
      </c>
    </row>
    <row r="5" spans="2:13" ht="12.75">
      <c r="B5" t="str">
        <f>line&amp;" - Variant Case"</f>
        <v>Commercial Automobile Liability - Variant Case</v>
      </c>
      <c r="M5" t="str">
        <f>line&amp;" - Variant Case"</f>
        <v>Commercial Automobile Liability - Variant Case</v>
      </c>
    </row>
    <row r="6" ht="12.75">
      <c r="M6" s="22" t="s">
        <v>119</v>
      </c>
    </row>
    <row r="7" ht="12.75">
      <c r="M7" s="4"/>
    </row>
    <row r="8" spans="3:14" ht="12.75">
      <c r="C8" s="22" t="s">
        <v>75</v>
      </c>
      <c r="N8" t="s">
        <v>120</v>
      </c>
    </row>
    <row r="9" spans="2:13" ht="12.75">
      <c r="B9" s="57" t="s">
        <v>0</v>
      </c>
      <c r="C9" s="22"/>
      <c r="M9" s="57" t="s">
        <v>0</v>
      </c>
    </row>
    <row r="10" spans="2:20" ht="12.75">
      <c r="B10" s="56" t="s">
        <v>1</v>
      </c>
      <c r="C10" s="56">
        <v>12</v>
      </c>
      <c r="D10" s="9">
        <f aca="true" t="shared" si="0" ref="D10:I10">C10+12</f>
        <v>24</v>
      </c>
      <c r="E10" s="9">
        <f t="shared" si="0"/>
        <v>36</v>
      </c>
      <c r="F10" s="9">
        <f t="shared" si="0"/>
        <v>48</v>
      </c>
      <c r="G10" s="9">
        <f t="shared" si="0"/>
        <v>60</v>
      </c>
      <c r="H10" s="9">
        <f t="shared" si="0"/>
        <v>72</v>
      </c>
      <c r="I10" s="9">
        <f t="shared" si="0"/>
        <v>84</v>
      </c>
      <c r="M10" s="56" t="s">
        <v>1</v>
      </c>
      <c r="N10" s="56">
        <v>12</v>
      </c>
      <c r="O10" s="9">
        <f aca="true" t="shared" si="1" ref="O10:T10">N10+12</f>
        <v>24</v>
      </c>
      <c r="P10" s="9">
        <f t="shared" si="1"/>
        <v>36</v>
      </c>
      <c r="Q10" s="9">
        <f t="shared" si="1"/>
        <v>48</v>
      </c>
      <c r="R10" s="9">
        <f t="shared" si="1"/>
        <v>60</v>
      </c>
      <c r="S10" s="9">
        <f t="shared" si="1"/>
        <v>72</v>
      </c>
      <c r="T10" s="9">
        <f t="shared" si="1"/>
        <v>84</v>
      </c>
    </row>
    <row r="11" spans="2:20" ht="12.75">
      <c r="B11" s="8">
        <f aca="true" t="shared" si="2" ref="B11:B16">B12-1</f>
        <v>1995</v>
      </c>
      <c r="C11" s="23">
        <v>54</v>
      </c>
      <c r="D11" s="23">
        <v>238</v>
      </c>
      <c r="E11" s="23">
        <v>357</v>
      </c>
      <c r="F11" s="23">
        <v>435</v>
      </c>
      <c r="G11" s="23">
        <v>490</v>
      </c>
      <c r="H11" s="23">
        <v>546</v>
      </c>
      <c r="I11" s="23">
        <v>568</v>
      </c>
      <c r="M11" s="8">
        <f aca="true" t="shared" si="3" ref="M11:M16">M12-1</f>
        <v>1995</v>
      </c>
      <c r="N11" s="55">
        <f>'Case Study II'!C62/'Case Study II'!C10</f>
        <v>0.3900273224043716</v>
      </c>
      <c r="O11" s="55">
        <f>'Case Study II'!D62/'Case Study II'!D10</f>
        <v>0.6458154322048462</v>
      </c>
      <c r="P11" s="55">
        <f>'Case Study II'!E62/'Case Study II'!E10</f>
        <v>0.7994811536700748</v>
      </c>
      <c r="Q11" s="55">
        <f>'Case Study II'!F62/'Case Study II'!F10</f>
        <v>0.9067201604814443</v>
      </c>
      <c r="R11" s="55">
        <f>'Case Study II'!G62/'Case Study II'!G10</f>
        <v>0.9234290470245526</v>
      </c>
      <c r="S11" s="55">
        <f>'Case Study II'!H62/'Case Study II'!H10</f>
        <v>0.9343993439934399</v>
      </c>
      <c r="T11" s="55">
        <f>'Case Study II'!I62/'Case Study II'!I10</f>
        <v>0.9483087834151664</v>
      </c>
    </row>
    <row r="12" spans="2:20" ht="12.75">
      <c r="B12" s="8">
        <f t="shared" si="2"/>
        <v>1996</v>
      </c>
      <c r="C12" s="23">
        <v>51</v>
      </c>
      <c r="D12" s="23">
        <v>274</v>
      </c>
      <c r="E12" s="23">
        <v>422</v>
      </c>
      <c r="F12" s="23">
        <v>515</v>
      </c>
      <c r="G12" s="23">
        <v>568</v>
      </c>
      <c r="H12" s="23">
        <v>635</v>
      </c>
      <c r="I12" s="23"/>
      <c r="M12" s="8">
        <f t="shared" si="3"/>
        <v>1996</v>
      </c>
      <c r="N12" s="55">
        <f>'Case Study II'!C63/'Case Study II'!C11</f>
        <v>0.39906195036153996</v>
      </c>
      <c r="O12" s="55">
        <f>'Case Study II'!D63/'Case Study II'!D11</f>
        <v>0.6346014754809779</v>
      </c>
      <c r="P12" s="55">
        <f>'Case Study II'!E63/'Case Study II'!E11</f>
        <v>0.7869182389937107</v>
      </c>
      <c r="Q12" s="55">
        <f>'Case Study II'!F63/'Case Study II'!F11</f>
        <v>0.8990355994761281</v>
      </c>
      <c r="R12" s="55">
        <f>'Case Study II'!G63/'Case Study II'!G11</f>
        <v>0.9118927589367553</v>
      </c>
      <c r="S12" s="55">
        <f>'Case Study II'!H63/'Case Study II'!H11</f>
        <v>0.911529933481153</v>
      </c>
      <c r="T12" s="23"/>
    </row>
    <row r="13" spans="2:20" ht="12.75">
      <c r="B13" s="8">
        <f t="shared" si="2"/>
        <v>1997</v>
      </c>
      <c r="C13" s="23">
        <v>66</v>
      </c>
      <c r="D13" s="23">
        <v>308</v>
      </c>
      <c r="E13" s="23">
        <v>473</v>
      </c>
      <c r="F13" s="23">
        <v>594</v>
      </c>
      <c r="G13" s="23">
        <v>675</v>
      </c>
      <c r="H13" s="23"/>
      <c r="I13" s="23"/>
      <c r="M13" s="8">
        <f t="shared" si="3"/>
        <v>1997</v>
      </c>
      <c r="N13" s="55">
        <f>'Case Study II'!C64/'Case Study II'!C12</f>
        <v>0.3811074918566775</v>
      </c>
      <c r="O13" s="55">
        <f>'Case Study II'!D64/'Case Study II'!D12</f>
        <v>0.6325169893576099</v>
      </c>
      <c r="P13" s="55">
        <f>'Case Study II'!E64/'Case Study II'!E12</f>
        <v>0.7812675897782281</v>
      </c>
      <c r="Q13" s="55">
        <f>'Case Study II'!F64/'Case Study II'!F12</f>
        <v>0.9066281186422529</v>
      </c>
      <c r="R13" s="55">
        <f>'Case Study II'!G64/'Case Study II'!G12</f>
        <v>0.9107670367729449</v>
      </c>
      <c r="S13" s="23"/>
      <c r="T13" s="23"/>
    </row>
    <row r="14" spans="2:20" ht="12.75">
      <c r="B14" s="8">
        <f t="shared" si="2"/>
        <v>1998</v>
      </c>
      <c r="C14" s="23">
        <v>64</v>
      </c>
      <c r="D14" s="23">
        <v>364</v>
      </c>
      <c r="E14" s="23">
        <v>527</v>
      </c>
      <c r="F14" s="23">
        <v>647</v>
      </c>
      <c r="G14" s="23"/>
      <c r="H14" s="23"/>
      <c r="I14" s="23"/>
      <c r="M14" s="8">
        <f t="shared" si="3"/>
        <v>1998</v>
      </c>
      <c r="N14" s="55">
        <f>'Case Study II'!C65/'Case Study II'!C13</f>
        <v>0.3745659722222222</v>
      </c>
      <c r="O14" s="55">
        <f>'Case Study II'!D65/'Case Study II'!D13</f>
        <v>0.6210439786272092</v>
      </c>
      <c r="P14" s="55">
        <f>'Case Study II'!E65/'Case Study II'!E13</f>
        <v>0.791409931134469</v>
      </c>
      <c r="Q14" s="55">
        <f>'Case Study II'!F65/'Case Study II'!F13</f>
        <v>0.8847305389221557</v>
      </c>
      <c r="R14" s="23"/>
      <c r="S14" s="23"/>
      <c r="T14" s="23"/>
    </row>
    <row r="15" spans="2:20" ht="12.75">
      <c r="B15" s="8">
        <f t="shared" si="2"/>
        <v>1999</v>
      </c>
      <c r="C15" s="23">
        <v>71</v>
      </c>
      <c r="D15" s="23">
        <v>393</v>
      </c>
      <c r="E15" s="23">
        <v>589</v>
      </c>
      <c r="F15" s="23"/>
      <c r="G15" s="23"/>
      <c r="H15" s="23"/>
      <c r="I15" s="23"/>
      <c r="M15" s="8">
        <f t="shared" si="3"/>
        <v>1999</v>
      </c>
      <c r="N15" s="55">
        <f>'Case Study II'!C66/'Case Study II'!C14</f>
        <v>0.3699696048632219</v>
      </c>
      <c r="O15" s="55">
        <f>'Case Study II'!D66/'Case Study II'!D14</f>
        <v>0.6351913124628829</v>
      </c>
      <c r="P15" s="55">
        <f>'Case Study II'!E66/'Case Study II'!E14</f>
        <v>0.7757441959834781</v>
      </c>
      <c r="Q15" s="23"/>
      <c r="R15" s="23"/>
      <c r="S15" s="23"/>
      <c r="T15" s="23"/>
    </row>
    <row r="16" spans="2:20" ht="12.75">
      <c r="B16" s="8">
        <f t="shared" si="2"/>
        <v>2000</v>
      </c>
      <c r="C16" s="23">
        <v>72</v>
      </c>
      <c r="D16" s="23">
        <v>403</v>
      </c>
      <c r="E16" s="23"/>
      <c r="F16" s="23"/>
      <c r="G16" s="23"/>
      <c r="H16" s="23"/>
      <c r="I16" s="23"/>
      <c r="M16" s="8">
        <f t="shared" si="3"/>
        <v>2000</v>
      </c>
      <c r="N16" s="55">
        <f>'Case Study II'!C67/'Case Study II'!C15</f>
        <v>0.3750556792873051</v>
      </c>
      <c r="O16" s="55">
        <f>'Case Study II'!D67/'Case Study II'!D15</f>
        <v>0.5622740483447933</v>
      </c>
      <c r="P16" s="23"/>
      <c r="Q16" s="23"/>
      <c r="R16" s="23"/>
      <c r="S16" s="23"/>
      <c r="T16" s="23"/>
    </row>
    <row r="17" spans="2:20" ht="12.75">
      <c r="B17" s="57">
        <f>curryr</f>
        <v>2001</v>
      </c>
      <c r="C17" s="23">
        <v>86</v>
      </c>
      <c r="D17" s="23"/>
      <c r="E17" s="23"/>
      <c r="F17" s="23"/>
      <c r="G17" s="23"/>
      <c r="H17" s="23"/>
      <c r="I17" s="23"/>
      <c r="M17" s="57">
        <f>B17</f>
        <v>2001</v>
      </c>
      <c r="N17" s="55">
        <f>'Case Study II'!C68/'Case Study II'!C16</f>
        <v>0.3315378195888021</v>
      </c>
      <c r="O17" s="23"/>
      <c r="P17" s="23"/>
      <c r="Q17" s="23"/>
      <c r="R17" s="23"/>
      <c r="S17" s="23"/>
      <c r="T17" s="23"/>
    </row>
    <row r="20" ht="12.75">
      <c r="C20" s="22" t="s">
        <v>76</v>
      </c>
    </row>
    <row r="21" ht="12.75">
      <c r="B21" s="8" t="str">
        <f aca="true" t="shared" si="4" ref="B21:B28">B9</f>
        <v>Accident</v>
      </c>
    </row>
    <row r="22" spans="2:9" ht="12.75">
      <c r="B22" s="9" t="str">
        <f t="shared" si="4"/>
        <v>Year</v>
      </c>
      <c r="C22" s="9" t="str">
        <f aca="true" t="shared" si="5" ref="C22:H22">C10&amp;" - "&amp;D10</f>
        <v>12 - 24</v>
      </c>
      <c r="D22" s="9" t="str">
        <f t="shared" si="5"/>
        <v>24 - 36</v>
      </c>
      <c r="E22" s="9" t="str">
        <f t="shared" si="5"/>
        <v>36 - 48</v>
      </c>
      <c r="F22" s="9" t="str">
        <f t="shared" si="5"/>
        <v>48 - 60</v>
      </c>
      <c r="G22" s="9" t="str">
        <f t="shared" si="5"/>
        <v>60 - 72</v>
      </c>
      <c r="H22" s="9" t="str">
        <f t="shared" si="5"/>
        <v>72 - 84</v>
      </c>
      <c r="I22" s="9" t="str">
        <f>I10&amp;" - ULT"</f>
        <v>84 - ULT</v>
      </c>
    </row>
    <row r="23" spans="2:9" ht="12.75">
      <c r="B23" s="8">
        <f t="shared" si="4"/>
        <v>1995</v>
      </c>
      <c r="C23" s="48">
        <f aca="true" t="shared" si="6" ref="C23:H28">IF(OR(C11=0,D11=""),"",D11/C11)</f>
        <v>4.407407407407407</v>
      </c>
      <c r="D23" s="48">
        <f t="shared" si="6"/>
        <v>1.5</v>
      </c>
      <c r="E23" s="48">
        <f t="shared" si="6"/>
        <v>1.218487394957983</v>
      </c>
      <c r="F23" s="48">
        <f t="shared" si="6"/>
        <v>1.1264367816091954</v>
      </c>
      <c r="G23" s="48">
        <f t="shared" si="6"/>
        <v>1.1142857142857143</v>
      </c>
      <c r="H23" s="48">
        <f t="shared" si="6"/>
        <v>1.0402930402930404</v>
      </c>
      <c r="I23" s="48"/>
    </row>
    <row r="24" spans="2:9" ht="12.75">
      <c r="B24" s="8">
        <f t="shared" si="4"/>
        <v>1996</v>
      </c>
      <c r="C24" s="49">
        <f t="shared" si="6"/>
        <v>5.372549019607843</v>
      </c>
      <c r="D24" s="49">
        <f t="shared" si="6"/>
        <v>1.5401459854014599</v>
      </c>
      <c r="E24" s="49">
        <f t="shared" si="6"/>
        <v>1.2203791469194314</v>
      </c>
      <c r="F24" s="49">
        <f t="shared" si="6"/>
        <v>1.1029126213592233</v>
      </c>
      <c r="G24" s="49">
        <f t="shared" si="6"/>
        <v>1.1179577464788732</v>
      </c>
      <c r="H24" s="49">
        <f t="shared" si="6"/>
      </c>
      <c r="I24" s="49"/>
    </row>
    <row r="25" spans="2:9" ht="12.75">
      <c r="B25" s="8">
        <f t="shared" si="4"/>
        <v>1997</v>
      </c>
      <c r="C25" s="49">
        <f t="shared" si="6"/>
        <v>4.666666666666667</v>
      </c>
      <c r="D25" s="49">
        <f t="shared" si="6"/>
        <v>1.5357142857142858</v>
      </c>
      <c r="E25" s="49">
        <f t="shared" si="6"/>
        <v>1.255813953488372</v>
      </c>
      <c r="F25" s="49">
        <f t="shared" si="6"/>
        <v>1.1363636363636365</v>
      </c>
      <c r="G25" s="49">
        <f t="shared" si="6"/>
      </c>
      <c r="H25" s="49">
        <f t="shared" si="6"/>
      </c>
      <c r="I25" s="49"/>
    </row>
    <row r="26" spans="2:9" ht="12.75">
      <c r="B26" s="8">
        <f t="shared" si="4"/>
        <v>1998</v>
      </c>
      <c r="C26" s="49">
        <f t="shared" si="6"/>
        <v>5.6875</v>
      </c>
      <c r="D26" s="49">
        <f t="shared" si="6"/>
        <v>1.4478021978021978</v>
      </c>
      <c r="E26" s="49">
        <f t="shared" si="6"/>
        <v>1.2277039848197344</v>
      </c>
      <c r="F26" s="49">
        <f t="shared" si="6"/>
      </c>
      <c r="G26" s="49">
        <f t="shared" si="6"/>
      </c>
      <c r="H26" s="49">
        <f t="shared" si="6"/>
      </c>
      <c r="I26" s="49"/>
    </row>
    <row r="27" spans="2:9" ht="12.75">
      <c r="B27" s="8">
        <f t="shared" si="4"/>
        <v>1999</v>
      </c>
      <c r="C27" s="49">
        <f t="shared" si="6"/>
        <v>5.535211267605634</v>
      </c>
      <c r="D27" s="49">
        <f t="shared" si="6"/>
        <v>1.4987277353689568</v>
      </c>
      <c r="E27" s="49">
        <f t="shared" si="6"/>
      </c>
      <c r="F27" s="49">
        <f t="shared" si="6"/>
      </c>
      <c r="G27" s="49">
        <f t="shared" si="6"/>
      </c>
      <c r="H27" s="49">
        <f t="shared" si="6"/>
      </c>
      <c r="I27" s="49"/>
    </row>
    <row r="28" spans="2:9" ht="12.75">
      <c r="B28" s="8">
        <f t="shared" si="4"/>
        <v>2000</v>
      </c>
      <c r="C28" s="49">
        <f t="shared" si="6"/>
        <v>5.597222222222222</v>
      </c>
      <c r="D28" s="49">
        <f t="shared" si="6"/>
      </c>
      <c r="E28" s="49">
        <f t="shared" si="6"/>
      </c>
      <c r="F28" s="49">
        <f t="shared" si="6"/>
      </c>
      <c r="G28" s="49">
        <f t="shared" si="6"/>
      </c>
      <c r="H28" s="49">
        <f t="shared" si="6"/>
      </c>
      <c r="I28" s="49"/>
    </row>
    <row r="29" ht="12.75">
      <c r="B29" s="8"/>
    </row>
    <row r="30" spans="2:8" ht="12.75">
      <c r="B30" s="21" t="s">
        <v>15</v>
      </c>
      <c r="C30" s="14">
        <f aca="true" t="shared" si="7" ref="C30:H30">AVERAGE(C23:C28)</f>
        <v>5.211092763918296</v>
      </c>
      <c r="D30" s="14">
        <f t="shared" si="7"/>
        <v>1.50447804085738</v>
      </c>
      <c r="E30" s="14">
        <f t="shared" si="7"/>
        <v>1.2305961200463802</v>
      </c>
      <c r="F30" s="14">
        <f t="shared" si="7"/>
        <v>1.1219043464440184</v>
      </c>
      <c r="G30" s="14">
        <f t="shared" si="7"/>
        <v>1.116121730382294</v>
      </c>
      <c r="H30" s="14">
        <f t="shared" si="7"/>
        <v>1.0402930402930404</v>
      </c>
    </row>
    <row r="31" spans="2:6" ht="12.75">
      <c r="B31" s="22" t="s">
        <v>16</v>
      </c>
      <c r="C31" s="14">
        <f>AVERAGE(C26:C28)</f>
        <v>5.606644496609285</v>
      </c>
      <c r="D31" s="14">
        <f>AVERAGE(D25:D27)</f>
        <v>1.4940814062951466</v>
      </c>
      <c r="E31" s="14">
        <f>AVERAGE(E24:E26)</f>
        <v>1.2346323617425126</v>
      </c>
      <c r="F31" s="14">
        <f>AVERAGE(F23:F25)</f>
        <v>1.1219043464440184</v>
      </c>
    </row>
    <row r="32" spans="2:6" ht="12.75">
      <c r="B32" s="22" t="s">
        <v>17</v>
      </c>
      <c r="C32" s="14">
        <f>(SUM(C23:C28)-MIN(C23:C28)-MAX(C23:C28))/(COUNT(C23:C28)-2)</f>
        <v>5.292912294025592</v>
      </c>
      <c r="D32" s="14">
        <f>(SUM(D23:D28)-MIN(D23:D28)-MAX(D23:D28))/(COUNT(D23:D28)-2)</f>
        <v>1.511480673694414</v>
      </c>
      <c r="E32" s="14">
        <f>(SUM(E23:E28)-MIN(E23:E28)-MAX(E23:E28))/(COUNT(E23:E28)-2)</f>
        <v>1.2240415658695827</v>
      </c>
      <c r="F32" s="14">
        <f>(SUM(F23:F28)-MIN(F23:F28)-MAX(F23:F28))/(COUNT(F23:F28)-2)</f>
        <v>1.1264367816091954</v>
      </c>
    </row>
    <row r="33" ht="12.75">
      <c r="B33" s="4"/>
    </row>
    <row r="44" ht="12.75">
      <c r="A44" s="51"/>
    </row>
    <row r="45" ht="12.75">
      <c r="A45" s="51"/>
    </row>
    <row r="46" ht="12.75">
      <c r="A46" s="51"/>
    </row>
    <row r="47" ht="12.75">
      <c r="A47" s="51"/>
    </row>
    <row r="48" ht="12.75">
      <c r="A48" s="51"/>
    </row>
    <row r="49" ht="12.75">
      <c r="A49" s="51"/>
    </row>
    <row r="50" ht="12.75">
      <c r="A50" s="31"/>
    </row>
    <row r="56" spans="2:13" ht="12.75">
      <c r="B56" t="str">
        <f>title1</f>
        <v>Monstertruck Mutual</v>
      </c>
      <c r="M56" t="str">
        <f>title1</f>
        <v>Monstertruck Mutual</v>
      </c>
    </row>
    <row r="57" spans="2:13" ht="12.75">
      <c r="B57" t="str">
        <f>line&amp;" - Variant Case"</f>
        <v>Commercial Automobile Liability - Variant Case</v>
      </c>
      <c r="M57" t="str">
        <f>line&amp;" - Variant Case"</f>
        <v>Commercial Automobile Liability - Variant Case</v>
      </c>
    </row>
    <row r="58" ht="12.75">
      <c r="M58" s="22" t="s">
        <v>82</v>
      </c>
    </row>
    <row r="59" ht="12.75">
      <c r="M59" s="4"/>
    </row>
    <row r="60" spans="3:14" ht="12.75">
      <c r="C60" s="81" t="s">
        <v>128</v>
      </c>
      <c r="N60" t="s">
        <v>83</v>
      </c>
    </row>
    <row r="61" spans="2:13" ht="12.75">
      <c r="B61" s="57" t="s">
        <v>0</v>
      </c>
      <c r="C61" s="22"/>
      <c r="M61" s="57" t="s">
        <v>0</v>
      </c>
    </row>
    <row r="62" spans="2:20" ht="12.75">
      <c r="B62" s="56" t="s">
        <v>1</v>
      </c>
      <c r="C62" s="56">
        <v>12</v>
      </c>
      <c r="D62" s="9">
        <f aca="true" t="shared" si="8" ref="D62:I62">C62+12</f>
        <v>24</v>
      </c>
      <c r="E62" s="9">
        <f t="shared" si="8"/>
        <v>36</v>
      </c>
      <c r="F62" s="9">
        <f t="shared" si="8"/>
        <v>48</v>
      </c>
      <c r="G62" s="9">
        <f t="shared" si="8"/>
        <v>60</v>
      </c>
      <c r="H62" s="9">
        <f t="shared" si="8"/>
        <v>72</v>
      </c>
      <c r="I62" s="9">
        <f t="shared" si="8"/>
        <v>84</v>
      </c>
      <c r="M62" s="56" t="s">
        <v>1</v>
      </c>
      <c r="N62" s="56">
        <v>12</v>
      </c>
      <c r="O62" s="9">
        <f aca="true" t="shared" si="9" ref="O62:T62">N62+12</f>
        <v>24</v>
      </c>
      <c r="P62" s="9">
        <f t="shared" si="9"/>
        <v>36</v>
      </c>
      <c r="Q62" s="9">
        <f t="shared" si="9"/>
        <v>48</v>
      </c>
      <c r="R62" s="9">
        <f t="shared" si="9"/>
        <v>60</v>
      </c>
      <c r="S62" s="9">
        <f t="shared" si="9"/>
        <v>72</v>
      </c>
      <c r="T62" s="9">
        <f t="shared" si="9"/>
        <v>84</v>
      </c>
    </row>
    <row r="63" spans="2:20" ht="12.75">
      <c r="B63" s="8">
        <f aca="true" t="shared" si="10" ref="B63:B68">B64-1</f>
        <v>1995</v>
      </c>
      <c r="C63" s="23">
        <v>391</v>
      </c>
      <c r="D63" s="23">
        <v>307</v>
      </c>
      <c r="E63" s="23">
        <v>218</v>
      </c>
      <c r="F63" s="23">
        <v>147</v>
      </c>
      <c r="G63" s="23">
        <v>95</v>
      </c>
      <c r="H63" s="23">
        <v>39</v>
      </c>
      <c r="I63" s="23">
        <v>17</v>
      </c>
      <c r="M63" s="8">
        <f aca="true" t="shared" si="11" ref="M63:M68">M64-1</f>
        <v>1995</v>
      </c>
      <c r="N63" s="55">
        <f>(C11+C63)/'Case Study II'!$E147</f>
        <v>0.7606837606837606</v>
      </c>
      <c r="O63" s="55">
        <f>(D11+D63)/'Case Study II'!$E147</f>
        <v>0.9316239316239316</v>
      </c>
      <c r="P63" s="55">
        <f>(E11+E63)/'Case Study II'!$E147</f>
        <v>0.9829059829059829</v>
      </c>
      <c r="Q63" s="55">
        <f>(F11+F63)/'Case Study II'!$E147</f>
        <v>0.9948717948717949</v>
      </c>
      <c r="R63" s="55">
        <f>(G11+G63)/'Case Study II'!$E147</f>
        <v>1</v>
      </c>
      <c r="S63" s="55">
        <f>(H11+H63)/'Case Study II'!$E147</f>
        <v>1</v>
      </c>
      <c r="T63" s="55">
        <f>(I11+I63)/'Case Study II'!$E147</f>
        <v>1</v>
      </c>
    </row>
    <row r="64" spans="2:20" ht="12.75">
      <c r="B64" s="8">
        <f t="shared" si="10"/>
        <v>1996</v>
      </c>
      <c r="C64" s="23">
        <v>493</v>
      </c>
      <c r="D64" s="23">
        <v>361</v>
      </c>
      <c r="E64" s="23">
        <v>252</v>
      </c>
      <c r="F64" s="23">
        <v>165</v>
      </c>
      <c r="G64" s="23">
        <v>114</v>
      </c>
      <c r="H64" s="23">
        <v>47</v>
      </c>
      <c r="I64" s="23"/>
      <c r="M64" s="8">
        <f t="shared" si="11"/>
        <v>1996</v>
      </c>
      <c r="N64" s="55">
        <f>(C12+C64)/'Case Study II'!$E148</f>
        <v>0.7976539589442815</v>
      </c>
      <c r="O64" s="55">
        <f>(D12+D64)/'Case Study II'!$E148</f>
        <v>0.9310850439882697</v>
      </c>
      <c r="P64" s="55">
        <f>(E12+E64)/'Case Study II'!$E148</f>
        <v>0.9882697947214076</v>
      </c>
      <c r="Q64" s="55">
        <f>(F12+F64)/'Case Study II'!$E148</f>
        <v>0.9970674486803519</v>
      </c>
      <c r="R64" s="55">
        <f>(G12+G64)/'Case Study II'!$E148</f>
        <v>1</v>
      </c>
      <c r="S64" s="55">
        <f>(H12+H64)/'Case Study II'!$E148</f>
        <v>1</v>
      </c>
      <c r="T64" s="23"/>
    </row>
    <row r="65" spans="2:20" ht="12.75">
      <c r="B65" s="8">
        <f t="shared" si="10"/>
        <v>1997</v>
      </c>
      <c r="C65" s="23">
        <v>559</v>
      </c>
      <c r="D65" s="23">
        <v>436</v>
      </c>
      <c r="E65" s="23">
        <v>307</v>
      </c>
      <c r="F65" s="23">
        <v>196</v>
      </c>
      <c r="G65" s="23">
        <v>116</v>
      </c>
      <c r="H65" s="23"/>
      <c r="I65" s="23"/>
      <c r="M65" s="8">
        <f t="shared" si="11"/>
        <v>1997</v>
      </c>
      <c r="N65" s="55">
        <f>(C13+C65)/'Case Study II'!$E149</f>
        <v>0.7901390644753477</v>
      </c>
      <c r="O65" s="55">
        <f>(D13+D65)/'Case Study II'!$E149</f>
        <v>0.9405815423514539</v>
      </c>
      <c r="P65" s="55">
        <f>(E13+E65)/'Case Study II'!$E149</f>
        <v>0.9860935524652339</v>
      </c>
      <c r="Q65" s="55">
        <f>(F13+F65)/'Case Study II'!$E149</f>
        <v>0.9987357774968394</v>
      </c>
      <c r="R65" s="55">
        <f>(G13+G65)/'Case Study II'!$E149</f>
        <v>1</v>
      </c>
      <c r="S65" s="23"/>
      <c r="T65" s="23"/>
    </row>
    <row r="66" spans="2:20" ht="12.75">
      <c r="B66" s="8">
        <f t="shared" si="10"/>
        <v>1998</v>
      </c>
      <c r="C66" s="23">
        <v>627</v>
      </c>
      <c r="D66" s="23">
        <v>469</v>
      </c>
      <c r="E66" s="23">
        <v>350</v>
      </c>
      <c r="F66" s="23">
        <v>236</v>
      </c>
      <c r="G66" s="23"/>
      <c r="H66" s="23"/>
      <c r="I66" s="23"/>
      <c r="M66" s="8">
        <f t="shared" si="11"/>
        <v>1998</v>
      </c>
      <c r="N66" s="55">
        <f>(C14+C66)/'Case Study II'!$E150</f>
        <v>0.7802187999986452</v>
      </c>
      <c r="O66" s="55">
        <f>(D14+D66)/'Case Study II'!$E150</f>
        <v>0.9405531988406244</v>
      </c>
      <c r="P66" s="55">
        <f>(E14+E66)/'Case Study II'!$E150</f>
        <v>0.9902342801719418</v>
      </c>
      <c r="Q66" s="55">
        <f>(F14+F66)/'Case Study II'!$E150</f>
        <v>0.9970089730807579</v>
      </c>
      <c r="R66" s="23"/>
      <c r="S66" s="23"/>
      <c r="T66" s="23"/>
    </row>
    <row r="67" spans="2:20" ht="12.75">
      <c r="B67" s="8">
        <f t="shared" si="10"/>
        <v>1999</v>
      </c>
      <c r="C67" s="23">
        <v>714</v>
      </c>
      <c r="D67" s="23">
        <v>531</v>
      </c>
      <c r="E67" s="23">
        <v>383</v>
      </c>
      <c r="F67" s="23"/>
      <c r="G67" s="23"/>
      <c r="H67" s="23"/>
      <c r="I67" s="23"/>
      <c r="M67" s="8">
        <f t="shared" si="11"/>
        <v>1999</v>
      </c>
      <c r="N67" s="55">
        <f>(C15+C67)/'Case Study II'!$E151</f>
        <v>0.797225322768605</v>
      </c>
      <c r="O67" s="55">
        <f>(D15+D67)/'Case Study II'!$E151</f>
        <v>0.9383900614499249</v>
      </c>
      <c r="P67" s="55">
        <f>(E15+E67)/'Case Study II'!$E151</f>
        <v>0.9871375971096612</v>
      </c>
      <c r="Q67" s="23"/>
      <c r="R67" s="23"/>
      <c r="S67" s="23"/>
      <c r="T67" s="23"/>
    </row>
    <row r="68" spans="2:20" ht="12.75">
      <c r="B68" s="8">
        <f t="shared" si="10"/>
        <v>2000</v>
      </c>
      <c r="C68" s="23">
        <v>703</v>
      </c>
      <c r="D68" s="23">
        <v>537</v>
      </c>
      <c r="E68" s="23"/>
      <c r="F68" s="23"/>
      <c r="G68" s="23"/>
      <c r="H68" s="23"/>
      <c r="I68" s="23"/>
      <c r="M68" s="8">
        <f t="shared" si="11"/>
        <v>2000</v>
      </c>
      <c r="N68" s="55">
        <f>(C16+C68)/'Case Study II'!$E152</f>
        <v>0.7743705465513975</v>
      </c>
      <c r="O68" s="55">
        <f>(D16+D68)/'Case Study II'!$E152</f>
        <v>0.9392365338816949</v>
      </c>
      <c r="P68" s="23"/>
      <c r="Q68" s="23"/>
      <c r="R68" s="23"/>
      <c r="S68" s="23"/>
      <c r="T68" s="23"/>
    </row>
    <row r="69" spans="2:20" ht="12.75">
      <c r="B69" s="57">
        <f>B17</f>
        <v>2001</v>
      </c>
      <c r="C69" s="23">
        <v>849</v>
      </c>
      <c r="D69" s="23"/>
      <c r="E69" s="23"/>
      <c r="F69" s="23"/>
      <c r="G69" s="23"/>
      <c r="H69" s="23"/>
      <c r="I69" s="23"/>
      <c r="M69" s="57">
        <f>B17</f>
        <v>2001</v>
      </c>
      <c r="N69" s="55">
        <f>(C17+C69)/'Case Study II'!$E153</f>
        <v>0.7840037845423162</v>
      </c>
      <c r="O69" s="23"/>
      <c r="P69" s="23"/>
      <c r="Q69" s="23"/>
      <c r="R69" s="23"/>
      <c r="S69" s="23"/>
      <c r="T69" s="23"/>
    </row>
    <row r="72" spans="3:14" ht="12.75">
      <c r="C72" s="81" t="s">
        <v>129</v>
      </c>
      <c r="N72" t="s">
        <v>84</v>
      </c>
    </row>
    <row r="73" spans="2:13" ht="12.75">
      <c r="B73" s="8" t="str">
        <f aca="true" t="shared" si="12" ref="B73:B80">B61</f>
        <v>Accident</v>
      </c>
      <c r="M73" s="57" t="s">
        <v>0</v>
      </c>
    </row>
    <row r="74" spans="2:20" ht="12.75">
      <c r="B74" s="9" t="str">
        <f t="shared" si="12"/>
        <v>Year</v>
      </c>
      <c r="C74" s="9" t="str">
        <f aca="true" t="shared" si="13" ref="C74:H74">C62&amp;" - "&amp;D62</f>
        <v>12 - 24</v>
      </c>
      <c r="D74" s="9" t="str">
        <f t="shared" si="13"/>
        <v>24 - 36</v>
      </c>
      <c r="E74" s="9" t="str">
        <f t="shared" si="13"/>
        <v>36 - 48</v>
      </c>
      <c r="F74" s="9" t="str">
        <f t="shared" si="13"/>
        <v>48 - 60</v>
      </c>
      <c r="G74" s="9" t="str">
        <f t="shared" si="13"/>
        <v>60 - 72</v>
      </c>
      <c r="H74" s="9" t="str">
        <f t="shared" si="13"/>
        <v>72 - 84</v>
      </c>
      <c r="I74" s="9" t="str">
        <f>I62&amp;" - ULT"</f>
        <v>84 - ULT</v>
      </c>
      <c r="M74" s="56" t="s">
        <v>1</v>
      </c>
      <c r="N74" s="56">
        <v>12</v>
      </c>
      <c r="O74" s="9">
        <f aca="true" t="shared" si="14" ref="O74:T74">N74+12</f>
        <v>24</v>
      </c>
      <c r="P74" s="9">
        <f t="shared" si="14"/>
        <v>36</v>
      </c>
      <c r="Q74" s="9">
        <f t="shared" si="14"/>
        <v>48</v>
      </c>
      <c r="R74" s="9">
        <f t="shared" si="14"/>
        <v>60</v>
      </c>
      <c r="S74" s="9">
        <f t="shared" si="14"/>
        <v>72</v>
      </c>
      <c r="T74" s="9">
        <f t="shared" si="14"/>
        <v>84</v>
      </c>
    </row>
    <row r="75" spans="2:20" ht="12.75">
      <c r="B75" s="8">
        <f t="shared" si="12"/>
        <v>1995</v>
      </c>
      <c r="C75" s="48">
        <f aca="true" t="shared" si="15" ref="C75:H80">IF(OR(C63=0,D63=""),"",D63/C63)</f>
        <v>0.7851662404092071</v>
      </c>
      <c r="D75" s="48">
        <f t="shared" si="15"/>
        <v>0.7100977198697068</v>
      </c>
      <c r="E75" s="48">
        <f t="shared" si="15"/>
        <v>0.6743119266055045</v>
      </c>
      <c r="F75" s="48">
        <f t="shared" si="15"/>
        <v>0.6462585034013606</v>
      </c>
      <c r="G75" s="48">
        <f t="shared" si="15"/>
        <v>0.4105263157894737</v>
      </c>
      <c r="H75" s="48">
        <f t="shared" si="15"/>
        <v>0.4358974358974359</v>
      </c>
      <c r="I75" s="48"/>
      <c r="M75" s="8">
        <f aca="true" t="shared" si="16" ref="M75:M80">M76-1</f>
        <v>1995</v>
      </c>
      <c r="N75" s="55">
        <f>C11/'Case Study II'!$E147</f>
        <v>0.09230769230769231</v>
      </c>
      <c r="O75" s="55">
        <f>D11/'Case Study II'!$E147</f>
        <v>0.40683760683760684</v>
      </c>
      <c r="P75" s="55">
        <f>E11/'Case Study II'!$E147</f>
        <v>0.6102564102564103</v>
      </c>
      <c r="Q75" s="55">
        <f>F11/'Case Study II'!$E147</f>
        <v>0.7435897435897436</v>
      </c>
      <c r="R75" s="55">
        <f>G11/'Case Study II'!$E147</f>
        <v>0.8376068376068376</v>
      </c>
      <c r="S75" s="55">
        <f>H11/'Case Study II'!$E147</f>
        <v>0.9333333333333333</v>
      </c>
      <c r="T75" s="55">
        <f>I11/'Case Study II'!$E147</f>
        <v>0.9709401709401709</v>
      </c>
    </row>
    <row r="76" spans="2:20" ht="12.75">
      <c r="B76" s="8">
        <f t="shared" si="12"/>
        <v>1996</v>
      </c>
      <c r="C76" s="49">
        <f t="shared" si="15"/>
        <v>0.7322515212981744</v>
      </c>
      <c r="D76" s="49">
        <f t="shared" si="15"/>
        <v>0.6980609418282548</v>
      </c>
      <c r="E76" s="49">
        <f t="shared" si="15"/>
        <v>0.6547619047619048</v>
      </c>
      <c r="F76" s="49">
        <f t="shared" si="15"/>
        <v>0.6909090909090909</v>
      </c>
      <c r="G76" s="49">
        <f t="shared" si="15"/>
        <v>0.41228070175438597</v>
      </c>
      <c r="H76" s="49">
        <f t="shared" si="15"/>
      </c>
      <c r="I76" s="49"/>
      <c r="M76" s="8">
        <f t="shared" si="16"/>
        <v>1996</v>
      </c>
      <c r="N76" s="55">
        <f>C12/'Case Study II'!$E148</f>
        <v>0.0747800586510264</v>
      </c>
      <c r="O76" s="55">
        <f>D12/'Case Study II'!$E148</f>
        <v>0.40175953079178883</v>
      </c>
      <c r="P76" s="55">
        <f>E12/'Case Study II'!$E148</f>
        <v>0.6187683284457478</v>
      </c>
      <c r="Q76" s="55">
        <f>F12/'Case Study II'!$E148</f>
        <v>0.7551319648093842</v>
      </c>
      <c r="R76" s="55">
        <f>G12/'Case Study II'!$E148</f>
        <v>0.8328445747800587</v>
      </c>
      <c r="S76" s="55">
        <f>H12/'Case Study II'!$E148</f>
        <v>0.9310850439882697</v>
      </c>
      <c r="T76" s="23"/>
    </row>
    <row r="77" spans="2:20" ht="12.75">
      <c r="B77" s="8">
        <f t="shared" si="12"/>
        <v>1997</v>
      </c>
      <c r="C77" s="49">
        <f t="shared" si="15"/>
        <v>0.7799642218246869</v>
      </c>
      <c r="D77" s="49">
        <f t="shared" si="15"/>
        <v>0.7041284403669725</v>
      </c>
      <c r="E77" s="49">
        <f t="shared" si="15"/>
        <v>0.6384364820846905</v>
      </c>
      <c r="F77" s="49">
        <f t="shared" si="15"/>
        <v>0.5918367346938775</v>
      </c>
      <c r="G77" s="49">
        <f t="shared" si="15"/>
      </c>
      <c r="H77" s="49">
        <f t="shared" si="15"/>
      </c>
      <c r="I77" s="49"/>
      <c r="M77" s="8">
        <f t="shared" si="16"/>
        <v>1997</v>
      </c>
      <c r="N77" s="55">
        <f>C13/'Case Study II'!$E149</f>
        <v>0.08343868520859671</v>
      </c>
      <c r="O77" s="55">
        <f>D13/'Case Study II'!$E149</f>
        <v>0.3893805309734513</v>
      </c>
      <c r="P77" s="55">
        <f>E13/'Case Study II'!$E149</f>
        <v>0.5979772439949431</v>
      </c>
      <c r="Q77" s="55">
        <f>F13/'Case Study II'!$E149</f>
        <v>0.7509481668773704</v>
      </c>
      <c r="R77" s="55">
        <f>G13/'Case Study II'!$E149</f>
        <v>0.8533501896333755</v>
      </c>
      <c r="S77" s="23"/>
      <c r="T77" s="23"/>
    </row>
    <row r="78" spans="2:20" ht="12.75">
      <c r="B78" s="8">
        <f t="shared" si="12"/>
        <v>1998</v>
      </c>
      <c r="C78" s="49">
        <f t="shared" si="15"/>
        <v>0.748006379585327</v>
      </c>
      <c r="D78" s="49">
        <f t="shared" si="15"/>
        <v>0.746268656716418</v>
      </c>
      <c r="E78" s="49">
        <f t="shared" si="15"/>
        <v>0.6742857142857143</v>
      </c>
      <c r="F78" s="49">
        <f t="shared" si="15"/>
      </c>
      <c r="G78" s="49">
        <f t="shared" si="15"/>
      </c>
      <c r="H78" s="49">
        <f t="shared" si="15"/>
      </c>
      <c r="I78" s="49"/>
      <c r="M78" s="8">
        <f t="shared" si="16"/>
        <v>1998</v>
      </c>
      <c r="N78" s="55">
        <f>C14/'Case Study II'!$E150</f>
        <v>0.0722633910273709</v>
      </c>
      <c r="O78" s="55">
        <f>D14/'Case Study II'!$E150</f>
        <v>0.41099803646817196</v>
      </c>
      <c r="P78" s="55">
        <f>E14/'Case Study II'!$E150</f>
        <v>0.5950438604910072</v>
      </c>
      <c r="Q78" s="55">
        <f>F14/'Case Study II'!$E150</f>
        <v>0.7305377186673276</v>
      </c>
      <c r="R78" s="23"/>
      <c r="S78" s="23"/>
      <c r="T78" s="23"/>
    </row>
    <row r="79" spans="2:20" ht="12.75">
      <c r="B79" s="8">
        <f t="shared" si="12"/>
        <v>1999</v>
      </c>
      <c r="C79" s="49">
        <f t="shared" si="15"/>
        <v>0.7436974789915967</v>
      </c>
      <c r="D79" s="49">
        <f t="shared" si="15"/>
        <v>0.7212806026365348</v>
      </c>
      <c r="E79" s="49">
        <f t="shared" si="15"/>
      </c>
      <c r="F79" s="49">
        <f t="shared" si="15"/>
      </c>
      <c r="G79" s="49">
        <f t="shared" si="15"/>
      </c>
      <c r="H79" s="49">
        <f t="shared" si="15"/>
      </c>
      <c r="I79" s="49"/>
      <c r="M79" s="8">
        <f t="shared" si="16"/>
        <v>1999</v>
      </c>
      <c r="N79" s="55">
        <f>C15/'Case Study II'!$E151</f>
        <v>0.0721057298300267</v>
      </c>
      <c r="O79" s="55">
        <f>D15/'Case Study II'!$E151</f>
        <v>0.39912044821409143</v>
      </c>
      <c r="P79" s="55">
        <f>E15/'Case Study II'!$E151</f>
        <v>0.5981728854913482</v>
      </c>
      <c r="Q79" s="23"/>
      <c r="R79" s="23"/>
      <c r="S79" s="23"/>
      <c r="T79" s="23"/>
    </row>
    <row r="80" spans="2:20" ht="12.75">
      <c r="B80" s="8">
        <f t="shared" si="12"/>
        <v>2000</v>
      </c>
      <c r="C80" s="49">
        <f t="shared" si="15"/>
        <v>0.7638691322901849</v>
      </c>
      <c r="D80" s="49">
        <f t="shared" si="15"/>
      </c>
      <c r="E80" s="49">
        <f t="shared" si="15"/>
      </c>
      <c r="F80" s="49">
        <f t="shared" si="15"/>
      </c>
      <c r="G80" s="49">
        <f t="shared" si="15"/>
      </c>
      <c r="H80" s="49">
        <f t="shared" si="15"/>
      </c>
      <c r="I80" s="49"/>
      <c r="M80" s="8">
        <f t="shared" si="16"/>
        <v>2000</v>
      </c>
      <c r="N80" s="55">
        <f>C16/'Case Study II'!$E152</f>
        <v>0.07194152174412982</v>
      </c>
      <c r="O80" s="55">
        <f>D16/'Case Study II'!$E152</f>
        <v>0.4026726842067267</v>
      </c>
      <c r="P80" s="23"/>
      <c r="Q80" s="23"/>
      <c r="R80" s="23"/>
      <c r="S80" s="23"/>
      <c r="T80" s="23"/>
    </row>
    <row r="81" spans="2:20" ht="12.75">
      <c r="B81" s="8"/>
      <c r="M81" s="57">
        <f>B17</f>
        <v>2001</v>
      </c>
      <c r="N81" s="55">
        <f>C17/'Case Study II'!$E153</f>
        <v>0.07211157804346438</v>
      </c>
      <c r="O81" s="23"/>
      <c r="P81" s="23"/>
      <c r="Q81" s="23"/>
      <c r="R81" s="23"/>
      <c r="S81" s="23"/>
      <c r="T81" s="23"/>
    </row>
    <row r="82" spans="2:8" ht="12.75">
      <c r="B82" s="21" t="str">
        <f>B30</f>
        <v>All Yr. Avg</v>
      </c>
      <c r="C82" s="14">
        <f aca="true" t="shared" si="17" ref="C82:H82">AVERAGE(C75:C80)</f>
        <v>0.7588258290665295</v>
      </c>
      <c r="D82" s="14">
        <f t="shared" si="17"/>
        <v>0.7159672722835774</v>
      </c>
      <c r="E82" s="14">
        <f t="shared" si="17"/>
        <v>0.6604490069344535</v>
      </c>
      <c r="F82" s="14">
        <f t="shared" si="17"/>
        <v>0.643001443001443</v>
      </c>
      <c r="G82" s="14">
        <f t="shared" si="17"/>
        <v>0.4114035087719298</v>
      </c>
      <c r="H82" s="14">
        <f t="shared" si="17"/>
        <v>0.4358974358974359</v>
      </c>
    </row>
    <row r="83" spans="2:6" ht="12.75">
      <c r="B83" s="21" t="str">
        <f>B31</f>
        <v>Latest 3 Yr Avg</v>
      </c>
      <c r="C83" s="14">
        <f>AVERAGE(C78:C80)</f>
        <v>0.7518576636223694</v>
      </c>
      <c r="D83" s="14">
        <f>AVERAGE(D77:D79)</f>
        <v>0.7238925665733085</v>
      </c>
      <c r="E83" s="14">
        <f>AVERAGE(E76:E78)</f>
        <v>0.6558280337107698</v>
      </c>
      <c r="F83" s="14">
        <f>AVERAGE(F75:F77)</f>
        <v>0.643001443001443</v>
      </c>
    </row>
    <row r="84" spans="2:6" ht="12.75">
      <c r="B84" s="21" t="str">
        <f>B32</f>
        <v>X High/Low</v>
      </c>
      <c r="C84" s="14">
        <f>(SUM(C75:C80)-MIN(C75:C80)-MAX(C75:C80))/(COUNT(C75:C80)-2)</f>
        <v>0.758884303172949</v>
      </c>
      <c r="D84" s="14">
        <f>(SUM(D75:D80)-MIN(D75:D80)-MAX(D75:D80))/(COUNT(D75:D80)-2)</f>
        <v>0.7118355876244048</v>
      </c>
      <c r="E84" s="14">
        <f>(SUM(E75:E80)-MIN(E75:E80)-MAX(E75:E80))/(COUNT(E75:E80)-2)</f>
        <v>0.6645238095238095</v>
      </c>
      <c r="F84" s="14">
        <f>(SUM(F75:F80)-MIN(F75:F80)-MAX(F75:F80))/(COUNT(F75:F80)-2)</f>
        <v>0.6462585034013606</v>
      </c>
    </row>
    <row r="96" ht="12.75">
      <c r="A96" s="51"/>
    </row>
    <row r="97" ht="12.75">
      <c r="A97" s="51"/>
    </row>
    <row r="98" ht="12.75">
      <c r="A98" s="51"/>
    </row>
    <row r="99" ht="12.75">
      <c r="A99" s="51"/>
    </row>
    <row r="100" ht="12.75">
      <c r="A100" s="51"/>
    </row>
    <row r="101" ht="12.75">
      <c r="A101" s="51"/>
    </row>
    <row r="102" ht="12.75">
      <c r="A102" s="30"/>
    </row>
    <row r="108" ht="12.75">
      <c r="B108" t="str">
        <f>title1</f>
        <v>Monstertruck Mutual</v>
      </c>
    </row>
    <row r="109" ht="12.75">
      <c r="B109" t="str">
        <f>line&amp;" - Variant Case"</f>
        <v>Commercial Automobile Liability - Variant Case</v>
      </c>
    </row>
    <row r="110" ht="12.75">
      <c r="B110" s="22" t="s">
        <v>121</v>
      </c>
    </row>
    <row r="111" ht="12.75">
      <c r="B111" s="4"/>
    </row>
    <row r="112" ht="12.75">
      <c r="C112" s="22" t="s">
        <v>118</v>
      </c>
    </row>
    <row r="113" spans="2:3" ht="12.75">
      <c r="B113" s="57" t="s">
        <v>0</v>
      </c>
      <c r="C113" s="22"/>
    </row>
    <row r="114" spans="2:9" ht="12.75">
      <c r="B114" s="56" t="s">
        <v>1</v>
      </c>
      <c r="C114" s="56">
        <v>12</v>
      </c>
      <c r="D114" s="9">
        <f aca="true" t="shared" si="18" ref="D114:I114">C114+12</f>
        <v>24</v>
      </c>
      <c r="E114" s="9">
        <f t="shared" si="18"/>
        <v>36</v>
      </c>
      <c r="F114" s="9">
        <f t="shared" si="18"/>
        <v>48</v>
      </c>
      <c r="G114" s="9">
        <f t="shared" si="18"/>
        <v>60</v>
      </c>
      <c r="H114" s="9">
        <f t="shared" si="18"/>
        <v>72</v>
      </c>
      <c r="I114" s="9">
        <f t="shared" si="18"/>
        <v>84</v>
      </c>
    </row>
    <row r="115" spans="2:9" ht="12.75">
      <c r="B115" s="8">
        <f aca="true" t="shared" si="19" ref="B115:B120">B116-1</f>
        <v>1995</v>
      </c>
      <c r="C115" s="23">
        <f>'Case Study II'!C10/('Case Study III'!C11+'Case Study III'!C63)*1000</f>
        <v>9869.662921348316</v>
      </c>
      <c r="D115" s="23">
        <f>'Case Study II'!D10/('Case Study III'!D11+'Case Study III'!D63)*1000</f>
        <v>10677.064220183487</v>
      </c>
      <c r="E115" s="23">
        <f>'Case Study II'!E10/('Case Study III'!E11+'Case Study III'!E63)*1000</f>
        <v>11396.521739130436</v>
      </c>
      <c r="F115" s="23">
        <f>'Case Study II'!F10/('Case Study III'!F11+'Case Study III'!F63)*1000</f>
        <v>11991.408934707904</v>
      </c>
      <c r="G115" s="23">
        <f>'Case Study II'!G10/('Case Study III'!G11+'Case Study III'!G63)*1000</f>
        <v>12323.076923076924</v>
      </c>
      <c r="H115" s="23">
        <f>'Case Study II'!H10/('Case Study III'!H11+'Case Study III'!H63)*1000</f>
        <v>12507.692307692309</v>
      </c>
      <c r="I115" s="23">
        <f>'Case Study II'!I10/('Case Study III'!I11+'Case Study III'!I63)*1000</f>
        <v>12533.333333333334</v>
      </c>
    </row>
    <row r="116" spans="2:9" ht="12.75">
      <c r="B116" s="8">
        <f t="shared" si="19"/>
        <v>1996</v>
      </c>
      <c r="C116" s="23">
        <f>'Case Study II'!C11/('Case Study III'!C12+'Case Study III'!C64)*1000</f>
        <v>9406.25</v>
      </c>
      <c r="D116" s="23">
        <f>'Case Study II'!D11/('Case Study III'!D12+'Case Study III'!D64)*1000</f>
        <v>10886.614173228347</v>
      </c>
      <c r="E116" s="23">
        <f>'Case Study II'!E11/('Case Study III'!E12+'Case Study III'!E64)*1000</f>
        <v>11795.252225519289</v>
      </c>
      <c r="F116" s="23">
        <f>'Case Study II'!F11/('Case Study III'!F12+'Case Study III'!F64)*1000</f>
        <v>12351.470588235294</v>
      </c>
      <c r="G116" s="23">
        <f>'Case Study II'!G11/('Case Study III'!G12+'Case Study III'!G64)*1000</f>
        <v>12797.65395894428</v>
      </c>
      <c r="H116" s="23">
        <f>'Case Study II'!H11/('Case Study III'!H12+'Case Study III'!H64)*1000</f>
        <v>13225.806451612903</v>
      </c>
      <c r="I116" s="23"/>
    </row>
    <row r="117" spans="2:9" ht="12.75">
      <c r="B117" s="8">
        <f t="shared" si="19"/>
        <v>1997</v>
      </c>
      <c r="C117" s="23">
        <f>'Case Study II'!C12/('Case Study III'!C13+'Case Study III'!C65)*1000</f>
        <v>9332.800000000001</v>
      </c>
      <c r="D117" s="23">
        <f>'Case Study II'!D12/('Case Study III'!D13+'Case Study III'!D65)*1000</f>
        <v>10482.52688172043</v>
      </c>
      <c r="E117" s="23">
        <f>'Case Study II'!E12/('Case Study III'!E13+'Case Study III'!E65)*1000</f>
        <v>11388.461538461537</v>
      </c>
      <c r="F117" s="23">
        <f>'Case Study II'!F12/('Case Study III'!F13+'Case Study III'!F65)*1000</f>
        <v>11821.518987341771</v>
      </c>
      <c r="G117" s="23">
        <f>'Case Study II'!G12/('Case Study III'!G13+'Case Study III'!G65)*1000</f>
        <v>12410.872313527181</v>
      </c>
      <c r="H117" s="23"/>
      <c r="I117" s="23"/>
    </row>
    <row r="118" spans="2:9" ht="12.75">
      <c r="B118" s="8">
        <f t="shared" si="19"/>
        <v>1998</v>
      </c>
      <c r="C118" s="23">
        <f>'Case Study II'!C13/('Case Study III'!C14+'Case Study III'!C66)*1000</f>
        <v>10002.894356005789</v>
      </c>
      <c r="D118" s="23">
        <f>'Case Study II'!D13/('Case Study III'!D14+'Case Study III'!D66)*1000</f>
        <v>11683.073229291716</v>
      </c>
      <c r="E118" s="23">
        <f>'Case Study II'!E13/('Case Study III'!E14+'Case Study III'!E66)*1000</f>
        <v>12583.808437856329</v>
      </c>
      <c r="F118" s="23">
        <f>'Case Study II'!F13/('Case Study III'!F14+'Case Study III'!F66)*1000</f>
        <v>13617.214043035106</v>
      </c>
      <c r="G118" s="23"/>
      <c r="H118" s="23"/>
      <c r="I118" s="23"/>
    </row>
    <row r="119" spans="2:9" ht="12.75">
      <c r="B119" s="8">
        <f t="shared" si="19"/>
        <v>1999</v>
      </c>
      <c r="C119" s="23">
        <f>'Case Study II'!C14/('Case Study III'!C15+'Case Study III'!C67)*1000</f>
        <v>10477.707006369426</v>
      </c>
      <c r="D119" s="23">
        <f>'Case Study II'!D14/('Case Study III'!D15+'Case Study III'!D67)*1000</f>
        <v>12756.493506493505</v>
      </c>
      <c r="E119" s="23">
        <f>'Case Study II'!E14/('Case Study III'!E15+'Case Study III'!E67)*1000</f>
        <v>14446.502057613168</v>
      </c>
      <c r="F119" s="23"/>
      <c r="G119" s="23"/>
      <c r="H119" s="23"/>
      <c r="I119" s="23"/>
    </row>
    <row r="120" spans="2:9" ht="12.75">
      <c r="B120" s="8">
        <f t="shared" si="19"/>
        <v>2000</v>
      </c>
      <c r="C120" s="23">
        <f>'Case Study II'!C15/('Case Study III'!C16+'Case Study III'!C68)*1000</f>
        <v>11587.09677419355</v>
      </c>
      <c r="D120" s="23">
        <f>'Case Study II'!D15/('Case Study III'!D16+'Case Study III'!D68)*1000</f>
        <v>15007.446808510638</v>
      </c>
      <c r="E120" s="23"/>
      <c r="F120" s="23"/>
      <c r="G120" s="23"/>
      <c r="H120" s="23"/>
      <c r="I120" s="23"/>
    </row>
    <row r="121" spans="2:9" ht="12.75">
      <c r="B121" s="57">
        <f>B17</f>
        <v>2001</v>
      </c>
      <c r="C121" s="23">
        <f>'Case Study II'!C16/('Case Study III'!C17+'Case Study III'!C69)*1000</f>
        <v>14097.326203208557</v>
      </c>
      <c r="D121" s="23"/>
      <c r="E121" s="23"/>
      <c r="F121" s="23"/>
      <c r="G121" s="23"/>
      <c r="H121" s="23"/>
      <c r="I121" s="23"/>
    </row>
    <row r="124" ht="12.75">
      <c r="C124" s="22" t="s">
        <v>77</v>
      </c>
    </row>
    <row r="125" ht="12.75">
      <c r="B125" s="8" t="str">
        <f>B113</f>
        <v>Accident</v>
      </c>
    </row>
    <row r="126" spans="2:9" ht="12.75">
      <c r="B126" s="9" t="str">
        <f>B114</f>
        <v>Year</v>
      </c>
      <c r="C126" s="9">
        <f aca="true" t="shared" si="20" ref="C126:I126">C114</f>
        <v>12</v>
      </c>
      <c r="D126" s="9">
        <f t="shared" si="20"/>
        <v>24</v>
      </c>
      <c r="E126" s="9">
        <f t="shared" si="20"/>
        <v>36</v>
      </c>
      <c r="F126" s="9">
        <f t="shared" si="20"/>
        <v>48</v>
      </c>
      <c r="G126" s="9">
        <f t="shared" si="20"/>
        <v>60</v>
      </c>
      <c r="H126" s="9">
        <f t="shared" si="20"/>
        <v>72</v>
      </c>
      <c r="I126" s="9">
        <f t="shared" si="20"/>
        <v>84</v>
      </c>
    </row>
    <row r="127" spans="2:9" ht="12.75">
      <c r="B127" s="8">
        <f aca="true" t="shared" si="21" ref="B127:B132">B116</f>
        <v>1996</v>
      </c>
      <c r="C127" s="53">
        <f aca="true" t="shared" si="22" ref="C127:H127">C116/C115-1</f>
        <v>-0.04695326730418958</v>
      </c>
      <c r="D127" s="53">
        <f t="shared" si="22"/>
        <v>0.01962617707672254</v>
      </c>
      <c r="E127" s="53">
        <f t="shared" si="22"/>
        <v>0.03498703336999709</v>
      </c>
      <c r="F127" s="53">
        <f t="shared" si="22"/>
        <v>0.030026634525424978</v>
      </c>
      <c r="G127" s="53">
        <f t="shared" si="22"/>
        <v>0.03851124510783799</v>
      </c>
      <c r="H127" s="53">
        <f t="shared" si="22"/>
        <v>0.05741379994445106</v>
      </c>
      <c r="I127" s="48"/>
    </row>
    <row r="128" spans="2:9" ht="12.75">
      <c r="B128" s="8">
        <f t="shared" si="21"/>
        <v>1997</v>
      </c>
      <c r="C128" s="54">
        <f>C117/C116-1</f>
        <v>-0.007808637873754076</v>
      </c>
      <c r="D128" s="54">
        <f>D117/D116-1</f>
        <v>-0.03711781138543713</v>
      </c>
      <c r="E128" s="54">
        <f>E117/E116-1</f>
        <v>-0.03448766328011632</v>
      </c>
      <c r="F128" s="54">
        <f>F117/F116-1</f>
        <v>-0.0429059517332534</v>
      </c>
      <c r="G128" s="54">
        <f>G117/G116-1</f>
        <v>-0.030222855427871398</v>
      </c>
      <c r="H128" s="49">
        <f>IF(OR(H116=0,I116=""),"",I116/H116)</f>
      </c>
      <c r="I128" s="49"/>
    </row>
    <row r="129" spans="2:9" ht="12.75">
      <c r="B129" s="8">
        <f t="shared" si="21"/>
        <v>1998</v>
      </c>
      <c r="C129" s="54">
        <f>C118/C117-1</f>
        <v>0.07179992671071789</v>
      </c>
      <c r="D129" s="54">
        <f>D118/D117-1</f>
        <v>0.11452833473432955</v>
      </c>
      <c r="E129" s="54">
        <f>E118/E117-1</f>
        <v>0.10496122723493606</v>
      </c>
      <c r="F129" s="54">
        <f>F118/F117-1</f>
        <v>0.15190053474651832</v>
      </c>
      <c r="G129" s="49">
        <f>IF(OR(G117=0,H117=""),"",H117/G117)</f>
      </c>
      <c r="H129" s="49">
        <f>IF(OR(H117=0,I117=""),"",I117/H117)</f>
      </c>
      <c r="I129" s="49"/>
    </row>
    <row r="130" spans="2:9" ht="12.75">
      <c r="B130" s="8">
        <f t="shared" si="21"/>
        <v>1999</v>
      </c>
      <c r="C130" s="54">
        <f>C119/C118-1</f>
        <v>0.04746752624439732</v>
      </c>
      <c r="D130" s="54">
        <f>D119/D118-1</f>
        <v>0.09187824608601414</v>
      </c>
      <c r="E130" s="54">
        <f>E119/E118-1</f>
        <v>0.14802304317929948</v>
      </c>
      <c r="F130" s="49">
        <f>IF(OR(F118=0,G118=""),"",G118/F118)</f>
      </c>
      <c r="G130" s="49">
        <f>IF(OR(G118=0,H118=""),"",H118/G118)</f>
      </c>
      <c r="H130" s="49">
        <f>IF(OR(H118=0,I118=""),"",I118/H118)</f>
      </c>
      <c r="I130" s="49"/>
    </row>
    <row r="131" spans="2:9" ht="12.75">
      <c r="B131" s="8">
        <f t="shared" si="21"/>
        <v>2000</v>
      </c>
      <c r="C131" s="54">
        <f>C120/C119-1</f>
        <v>0.10588096872242381</v>
      </c>
      <c r="D131" s="54">
        <f>D120/D119-1</f>
        <v>0.17645548918841358</v>
      </c>
      <c r="E131" s="49">
        <f>IF(OR(E119=0,F119=""),"",F119/E119)</f>
      </c>
      <c r="F131" s="49">
        <f>IF(OR(F119=0,G119=""),"",G119/F119)</f>
      </c>
      <c r="G131" s="49">
        <f>IF(OR(G119=0,H119=""),"",H119/G119)</f>
      </c>
      <c r="H131" s="49">
        <f>IF(OR(H119=0,I119=""),"",I119/H119)</f>
      </c>
      <c r="I131" s="49"/>
    </row>
    <row r="132" spans="2:9" ht="12.75">
      <c r="B132" s="8">
        <f t="shared" si="21"/>
        <v>2001</v>
      </c>
      <c r="C132" s="54">
        <f>C121/C120-1</f>
        <v>0.21664006764884536</v>
      </c>
      <c r="D132" s="49">
        <f>IF(OR(D120=0,E120=""),"",E120/D120)</f>
      </c>
      <c r="E132" s="49">
        <f>IF(OR(E120=0,F120=""),"",F120/E120)</f>
      </c>
      <c r="F132" s="49">
        <f>IF(OR(F120=0,G120=""),"",G120/F120)</f>
      </c>
      <c r="G132" s="49">
        <f>IF(OR(G120=0,H120=""),"",H120/G120)</f>
      </c>
      <c r="H132" s="49">
        <f>IF(OR(H120=0,I120=""),"",I120/H120)</f>
      </c>
      <c r="I132" s="49"/>
    </row>
    <row r="135" ht="12.75">
      <c r="B135" s="8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30"/>
    </row>
    <row r="160" ht="12.75">
      <c r="B160" t="str">
        <f>title1</f>
        <v>Monstertruck Mutual</v>
      </c>
    </row>
    <row r="161" ht="12.75">
      <c r="B161" t="str">
        <f>line&amp;" - Variant Case"</f>
        <v>Commercial Automobile Liability - Variant Case</v>
      </c>
    </row>
    <row r="162" ht="12.75">
      <c r="B162" s="22" t="s">
        <v>78</v>
      </c>
    </row>
    <row r="164" ht="12.75">
      <c r="C164" s="22" t="s">
        <v>79</v>
      </c>
    </row>
    <row r="165" spans="2:3" ht="12.75">
      <c r="B165" s="57" t="s">
        <v>0</v>
      </c>
      <c r="C165" s="22"/>
    </row>
    <row r="166" spans="2:9" ht="12.75">
      <c r="B166" s="56" t="s">
        <v>1</v>
      </c>
      <c r="C166" s="56">
        <v>12</v>
      </c>
      <c r="D166" s="9">
        <f aca="true" t="shared" si="23" ref="D166:I166">C166+12</f>
        <v>24</v>
      </c>
      <c r="E166" s="9">
        <f t="shared" si="23"/>
        <v>36</v>
      </c>
      <c r="F166" s="9">
        <f t="shared" si="23"/>
        <v>48</v>
      </c>
      <c r="G166" s="9">
        <f t="shared" si="23"/>
        <v>60</v>
      </c>
      <c r="H166" s="9">
        <f t="shared" si="23"/>
        <v>72</v>
      </c>
      <c r="I166" s="9">
        <f t="shared" si="23"/>
        <v>84</v>
      </c>
    </row>
    <row r="167" spans="2:9" ht="12.75">
      <c r="B167" s="8">
        <f aca="true" t="shared" si="24" ref="B167:B172">B168-1</f>
        <v>1995</v>
      </c>
      <c r="C167" s="23">
        <f>'Case Study II'!C62/'Case Study III'!C11*1000</f>
        <v>31722.222222222223</v>
      </c>
      <c r="D167" s="23">
        <f>'Case Study II'!D62/'Case Study III'!D11*1000</f>
        <v>15789.915966386556</v>
      </c>
      <c r="E167" s="23">
        <f>'Case Study II'!E62/'Case Study III'!E11*1000</f>
        <v>14675.070028011203</v>
      </c>
      <c r="F167" s="23">
        <f>'Case Study II'!F62/'Case Study III'!F11*1000</f>
        <v>14547.12643678161</v>
      </c>
      <c r="G167" s="23">
        <f>'Case Study II'!G62/'Case Study III'!G11*1000</f>
        <v>13585.714285714286</v>
      </c>
      <c r="H167" s="23">
        <f>'Case Study II'!H62/'Case Study III'!H11*1000</f>
        <v>12521.978021978022</v>
      </c>
      <c r="I167" s="23">
        <f>'Case Study II'!I62/'Case Study III'!I11*1000</f>
        <v>12241.197183098591</v>
      </c>
    </row>
    <row r="168" spans="2:9" ht="12.75">
      <c r="B168" s="8">
        <f t="shared" si="24"/>
        <v>1996</v>
      </c>
      <c r="C168" s="23">
        <f>'Case Study II'!C63/'Case Study III'!C12*1000</f>
        <v>40039.21568627451</v>
      </c>
      <c r="D168" s="23">
        <f>'Case Study II'!D63/'Case Study III'!D12*1000</f>
        <v>16010.94890510949</v>
      </c>
      <c r="E168" s="23">
        <f>'Case Study II'!E63/'Case Study III'!E12*1000</f>
        <v>14824.644549763032</v>
      </c>
      <c r="F168" s="23">
        <f>'Case Study II'!F63/'Case Study III'!F12*1000</f>
        <v>14662.135922330097</v>
      </c>
      <c r="G168" s="23">
        <f>'Case Study II'!G63/'Case Study III'!G12*1000</f>
        <v>14012.323943661971</v>
      </c>
      <c r="H168" s="23">
        <f>'Case Study II'!H63/'Case Study III'!H12*1000</f>
        <v>12948.031496062991</v>
      </c>
      <c r="I168" s="23">
        <f aca="true" t="shared" si="25" ref="I168:I173">IF(OR(I116=0,I116="",I12=""),"",I12/I116*1000)</f>
      </c>
    </row>
    <row r="169" spans="2:9" ht="12.75">
      <c r="B169" s="8">
        <f t="shared" si="24"/>
        <v>1997</v>
      </c>
      <c r="C169" s="23">
        <f>'Case Study II'!C64/'Case Study III'!C13*1000</f>
        <v>33681.81818181818</v>
      </c>
      <c r="D169" s="23">
        <f>'Case Study II'!D64/'Case Study III'!D13*1000</f>
        <v>16016.233766233767</v>
      </c>
      <c r="E169" s="23">
        <f>'Case Study II'!E64/'Case Study III'!E13*1000</f>
        <v>14672.3044397463</v>
      </c>
      <c r="F169" s="23">
        <f>'Case Study II'!F64/'Case Study III'!F13*1000</f>
        <v>14254.208754208754</v>
      </c>
      <c r="G169" s="23">
        <f>'Case Study II'!G64/'Case Study III'!G13*1000</f>
        <v>13245.925925925925</v>
      </c>
      <c r="H169" s="23">
        <f>IF(OR(H117=0,H117="",H13=""),"",H13/H117*1000)</f>
      </c>
      <c r="I169" s="23">
        <f t="shared" si="25"/>
      </c>
    </row>
    <row r="170" spans="2:9" ht="12.75">
      <c r="B170" s="8">
        <f t="shared" si="24"/>
        <v>1998</v>
      </c>
      <c r="C170" s="23">
        <f>'Case Study II'!C65/'Case Study III'!C14*1000</f>
        <v>40453.125</v>
      </c>
      <c r="D170" s="23">
        <f>'Case Study II'!D65/'Case Study III'!D14*1000</f>
        <v>16604.395604395606</v>
      </c>
      <c r="E170" s="23">
        <f>'Case Study II'!E65/'Case Study III'!E14*1000</f>
        <v>16573.055028463</v>
      </c>
      <c r="F170" s="23">
        <f>'Case Study II'!F65/'Case Study III'!F14*1000</f>
        <v>16442.040185471407</v>
      </c>
      <c r="G170" s="23">
        <f>IF(OR(G118=0,G118="",G14=""),"",G14/G118*1000)</f>
      </c>
      <c r="H170" s="23">
        <f>IF(OR(H118=0,H118="",H14=""),"",H14/H118*1000)</f>
      </c>
      <c r="I170" s="23">
        <f t="shared" si="25"/>
      </c>
    </row>
    <row r="171" spans="2:9" ht="12.75">
      <c r="B171" s="8">
        <f t="shared" si="24"/>
        <v>1999</v>
      </c>
      <c r="C171" s="23">
        <f>'Case Study II'!C66/'Case Study III'!C15*1000</f>
        <v>42859.15492957747</v>
      </c>
      <c r="D171" s="23">
        <f>'Case Study II'!D66/'Case Study III'!D15*1000</f>
        <v>19050.89058524173</v>
      </c>
      <c r="E171" s="23">
        <f>'Case Study II'!E66/'Case Study III'!E15*1000</f>
        <v>18494.057724957558</v>
      </c>
      <c r="F171" s="23">
        <f>IF(OR(F119=0,F119="",F15=""),"",F15/F119*1000)</f>
      </c>
      <c r="G171" s="23">
        <f>IF(OR(G119=0,G119="",G15=""),"",G15/G119*1000)</f>
      </c>
      <c r="H171" s="23">
        <f>IF(OR(H119=0,H119="",H15=""),"",H15/H119*1000)</f>
      </c>
      <c r="I171" s="23">
        <f t="shared" si="25"/>
      </c>
    </row>
    <row r="172" spans="2:9" ht="12.75">
      <c r="B172" s="8">
        <f t="shared" si="24"/>
        <v>2000</v>
      </c>
      <c r="C172" s="23">
        <f>'Case Study II'!C67/'Case Study III'!C16*1000</f>
        <v>46777.77777777778</v>
      </c>
      <c r="D172" s="23">
        <f>'Case Study II'!D67/'Case Study III'!D16*1000</f>
        <v>19682.382133995037</v>
      </c>
      <c r="E172" s="23">
        <f>IF(OR(E120=0,E120="",E16=""),"",E16/E120*1000)</f>
      </c>
      <c r="F172" s="23">
        <f>IF(OR(F120=0,F120="",F16=""),"",F16/F120*1000)</f>
      </c>
      <c r="G172" s="23">
        <f>IF(OR(G120=0,G120="",G16=""),"",G16/G120*1000)</f>
      </c>
      <c r="H172" s="23">
        <f>IF(OR(H120=0,H120="",H16=""),"",H16/H120*1000)</f>
      </c>
      <c r="I172" s="23">
        <f t="shared" si="25"/>
      </c>
    </row>
    <row r="173" spans="2:9" ht="12.75">
      <c r="B173" s="57">
        <f>B17</f>
        <v>2001</v>
      </c>
      <c r="C173" s="23">
        <f>'Case Study II'!C68/'Case Study III'!C17*1000</f>
        <v>50813.95348837209</v>
      </c>
      <c r="D173" s="23">
        <f>IF(OR(D121=0,D121="",D17=""),"",D17/D121*1000)</f>
      </c>
      <c r="E173" s="23">
        <f>IF(OR(E121=0,E121="",E17=""),"",E17/E121*1000)</f>
      </c>
      <c r="F173" s="23">
        <f>IF(OR(F121=0,F121="",F17=""),"",F17/F121*1000)</f>
      </c>
      <c r="G173" s="23">
        <f>IF(OR(G121=0,G121="",G17=""),"",G17/G121*1000)</f>
      </c>
      <c r="H173" s="23">
        <f>IF(OR(H121=0,H121="",H17=""),"",H17/H121*1000)</f>
      </c>
      <c r="I173" s="23">
        <f t="shared" si="25"/>
      </c>
    </row>
    <row r="176" ht="12.75">
      <c r="C176" s="22" t="s">
        <v>77</v>
      </c>
    </row>
    <row r="177" ht="12.75">
      <c r="B177" s="8" t="str">
        <f>B165</f>
        <v>Accident</v>
      </c>
    </row>
    <row r="178" spans="2:9" ht="12.75">
      <c r="B178" s="9" t="str">
        <f>B166</f>
        <v>Year</v>
      </c>
      <c r="C178" s="9">
        <f aca="true" t="shared" si="26" ref="C178:I178">C166</f>
        <v>12</v>
      </c>
      <c r="D178" s="9">
        <f t="shared" si="26"/>
        <v>24</v>
      </c>
      <c r="E178" s="9">
        <f t="shared" si="26"/>
        <v>36</v>
      </c>
      <c r="F178" s="9">
        <f t="shared" si="26"/>
        <v>48</v>
      </c>
      <c r="G178" s="9">
        <f t="shared" si="26"/>
        <v>60</v>
      </c>
      <c r="H178" s="9">
        <f t="shared" si="26"/>
        <v>72</v>
      </c>
      <c r="I178" s="9">
        <f t="shared" si="26"/>
        <v>84</v>
      </c>
    </row>
    <row r="179" spans="2:9" ht="12.75">
      <c r="B179" s="8">
        <f aca="true" t="shared" si="27" ref="B179:B184">B168</f>
        <v>1996</v>
      </c>
      <c r="C179" s="53">
        <f aca="true" t="shared" si="28" ref="C179:H179">C168/C167-1</f>
        <v>0.26218193056557126</v>
      </c>
      <c r="D179" s="53">
        <f t="shared" si="28"/>
        <v>0.013998360674842614</v>
      </c>
      <c r="E179" s="53">
        <f t="shared" si="28"/>
        <v>0.010192423032144182</v>
      </c>
      <c r="F179" s="53">
        <f t="shared" si="28"/>
        <v>0.007905993396585265</v>
      </c>
      <c r="G179" s="53">
        <f t="shared" si="28"/>
        <v>0.03140134180477183</v>
      </c>
      <c r="H179" s="53">
        <f t="shared" si="28"/>
        <v>0.03402445470972548</v>
      </c>
      <c r="I179" s="48"/>
    </row>
    <row r="180" spans="2:9" ht="12.75">
      <c r="B180" s="8">
        <f t="shared" si="27"/>
        <v>1997</v>
      </c>
      <c r="C180" s="54">
        <f>C169/C168-1</f>
        <v>-0.15877927165880168</v>
      </c>
      <c r="D180" s="54">
        <f>D169/D168-1</f>
        <v>0.00033007794576067617</v>
      </c>
      <c r="E180" s="54">
        <f>E169/E168-1</f>
        <v>-0.010276139134760331</v>
      </c>
      <c r="F180" s="54">
        <f>F169/F168-1</f>
        <v>-0.027821810565818006</v>
      </c>
      <c r="G180" s="54">
        <f>G169/G168-1</f>
        <v>-0.05469456892499991</v>
      </c>
      <c r="H180" s="49">
        <f>IF(OR(H168=0,I168=""),"",I168/H168)</f>
      </c>
      <c r="I180" s="49"/>
    </row>
    <row r="181" spans="2:9" ht="12.75">
      <c r="B181" s="8">
        <f t="shared" si="27"/>
        <v>1998</v>
      </c>
      <c r="C181" s="54">
        <f>C170/C169-1</f>
        <v>0.20103744939271273</v>
      </c>
      <c r="D181" s="54">
        <f>D170/D169-1</f>
        <v>0.036722855494394135</v>
      </c>
      <c r="E181" s="54">
        <f>E170/E169-1</f>
        <v>0.12954683407247836</v>
      </c>
      <c r="F181" s="54">
        <f>F170/F169-1</f>
        <v>0.15348669778788437</v>
      </c>
      <c r="G181" s="49">
        <f>IF(OR(G169=0,H169=""),"",H169/G169)</f>
      </c>
      <c r="H181" s="49">
        <f>IF(OR(H169=0,I169=""),"",I169/H169)</f>
      </c>
      <c r="I181" s="49"/>
    </row>
    <row r="182" spans="2:9" ht="12.75">
      <c r="B182" s="8">
        <f t="shared" si="27"/>
        <v>1999</v>
      </c>
      <c r="C182" s="54">
        <f>C171/C170-1</f>
        <v>0.05947698551292313</v>
      </c>
      <c r="D182" s="54">
        <f>D171/D170-1</f>
        <v>0.14734020069953502</v>
      </c>
      <c r="E182" s="54">
        <f>E171/E170-1</f>
        <v>0.11591120002892508</v>
      </c>
      <c r="F182" s="49">
        <f>IF(OR(F170=0,G170=""),"",G170/F170)</f>
      </c>
      <c r="G182" s="49">
        <f>IF(OR(G170=0,H170=""),"",H170/G170)</f>
      </c>
      <c r="H182" s="49">
        <f>IF(OR(H170=0,I170=""),"",I170/H170)</f>
      </c>
      <c r="I182" s="49"/>
    </row>
    <row r="183" spans="2:9" ht="12.75">
      <c r="B183" s="8">
        <f t="shared" si="27"/>
        <v>2000</v>
      </c>
      <c r="C183" s="54">
        <f>C172/C171-1</f>
        <v>0.09143024062511418</v>
      </c>
      <c r="D183" s="54">
        <f>D172/D171-1</f>
        <v>0.033147613017236566</v>
      </c>
      <c r="E183" s="49">
        <f>IF(OR(E171=0,F171=""),"",F171/E171)</f>
      </c>
      <c r="F183" s="49">
        <f>IF(OR(F171=0,G171=""),"",G171/F171)</f>
      </c>
      <c r="G183" s="49">
        <f>IF(OR(G171=0,H171=""),"",H171/G171)</f>
      </c>
      <c r="H183" s="49">
        <f>IF(OR(H171=0,I171=""),"",I171/H171)</f>
      </c>
      <c r="I183" s="49"/>
    </row>
    <row r="184" spans="2:9" ht="12.75">
      <c r="B184" s="8">
        <f t="shared" si="27"/>
        <v>2001</v>
      </c>
      <c r="C184" s="54">
        <f>C173/C172-1</f>
        <v>0.08628404131911838</v>
      </c>
      <c r="D184" s="49">
        <f>IF(OR(D172=0,E172=""),"",E172/D172)</f>
      </c>
      <c r="E184" s="49">
        <f>IF(OR(E172=0,F172=""),"",F172/E172)</f>
      </c>
      <c r="F184" s="49">
        <f>IF(OR(F172=0,G172=""),"",G172/F172)</f>
      </c>
      <c r="G184" s="49">
        <f>IF(OR(G172=0,H172=""),"",H172/G172)</f>
      </c>
      <c r="H184" s="49">
        <f>IF(OR(H172=0,I172=""),"",I172/H172)</f>
      </c>
      <c r="I184" s="49"/>
    </row>
    <row r="185" ht="12.75">
      <c r="B185" s="8"/>
    </row>
    <row r="200" spans="1:2" ht="12.75">
      <c r="A200" s="51"/>
      <c r="B200" s="4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30"/>
    </row>
    <row r="212" ht="12.75">
      <c r="B212" t="str">
        <f>title1</f>
        <v>Monstertruck Mutual</v>
      </c>
    </row>
    <row r="213" ht="12.75">
      <c r="B213" t="str">
        <f>line&amp;" - Variant Case"</f>
        <v>Commercial Automobile Liability - Variant Case</v>
      </c>
    </row>
    <row r="214" ht="12.75">
      <c r="B214" s="22" t="s">
        <v>80</v>
      </c>
    </row>
    <row r="216" ht="12.75">
      <c r="C216" s="22" t="s">
        <v>81</v>
      </c>
    </row>
    <row r="217" spans="2:3" ht="12.75">
      <c r="B217" s="57" t="s">
        <v>0</v>
      </c>
      <c r="C217" s="22"/>
    </row>
    <row r="218" spans="2:9" ht="12.75">
      <c r="B218" s="56" t="s">
        <v>1</v>
      </c>
      <c r="C218" s="56">
        <v>12</v>
      </c>
      <c r="D218" s="9">
        <f aca="true" t="shared" si="29" ref="D218:I218">C218+12</f>
        <v>24</v>
      </c>
      <c r="E218" s="9">
        <f t="shared" si="29"/>
        <v>36</v>
      </c>
      <c r="F218" s="9">
        <f t="shared" si="29"/>
        <v>48</v>
      </c>
      <c r="G218" s="9">
        <f t="shared" si="29"/>
        <v>60</v>
      </c>
      <c r="H218" s="9">
        <f t="shared" si="29"/>
        <v>72</v>
      </c>
      <c r="I218" s="9">
        <f t="shared" si="29"/>
        <v>84</v>
      </c>
    </row>
    <row r="219" spans="2:9" ht="12.75">
      <c r="B219" s="8">
        <f aca="true" t="shared" si="30" ref="B219:B224">B220-1</f>
        <v>1995</v>
      </c>
      <c r="C219" s="23">
        <f>('Case Study II'!C10-'Case Study II'!C62)/'Case Study III'!C63*1000</f>
        <v>6851.662404092072</v>
      </c>
      <c r="D219" s="23">
        <f>('Case Study II'!D10-'Case Study II'!D62)/'Case Study III'!D63*1000</f>
        <v>6713.355048859935</v>
      </c>
      <c r="E219" s="23">
        <f>('Case Study II'!E10-'Case Study II'!E62)/'Case Study III'!E63*1000</f>
        <v>6027.522935779816</v>
      </c>
      <c r="F219" s="23">
        <f>('Case Study II'!F10-'Case Study II'!F62)/'Case Study III'!F63*1000</f>
        <v>4428.571428571428</v>
      </c>
      <c r="G219" s="23">
        <f>('Case Study II'!G10-'Case Study II'!G62)/'Case Study III'!G63*1000</f>
        <v>5810.526315789474</v>
      </c>
      <c r="H219" s="23">
        <f>('Case Study II'!H10-'Case Study II'!H62)/'Case Study III'!H63*1000</f>
        <v>12307.692307692309</v>
      </c>
      <c r="I219" s="23">
        <f>('Case Study II'!I10-'Case Study II'!I62)/'Case Study III'!I63*1000</f>
        <v>22294.11764705882</v>
      </c>
    </row>
    <row r="220" spans="2:9" ht="12.75">
      <c r="B220" s="8">
        <f t="shared" si="30"/>
        <v>1996</v>
      </c>
      <c r="C220" s="23">
        <f>('Case Study II'!C11-'Case Study II'!C63)/'Case Study III'!C64*1000</f>
        <v>6237.322515212982</v>
      </c>
      <c r="D220" s="23">
        <f>('Case Study II'!D11-'Case Study II'!D63)/'Case Study III'!D64*1000</f>
        <v>6997.229916897507</v>
      </c>
      <c r="E220" s="23">
        <f>('Case Study II'!E11-'Case Study II'!E63)/'Case Study III'!E64*1000</f>
        <v>6722.222222222223</v>
      </c>
      <c r="F220" s="23">
        <f>('Case Study II'!F11-'Case Study II'!F63)/'Case Study III'!F64*1000</f>
        <v>5139.39393939394</v>
      </c>
      <c r="G220" s="23">
        <f>('Case Study II'!G11-'Case Study II'!G63)/'Case Study III'!G64*1000</f>
        <v>6745.6140350877195</v>
      </c>
      <c r="H220" s="23">
        <f>('Case Study II'!H11-'Case Study II'!H63)/'Case Study III'!H64*1000</f>
        <v>16978.72340425532</v>
      </c>
      <c r="I220" s="23">
        <f aca="true" t="shared" si="31" ref="I220:I225">IF(OR(I168=0,I168="",I64=""),"",I64/I168*1000)</f>
      </c>
    </row>
    <row r="221" spans="2:9" ht="12.75">
      <c r="B221" s="8">
        <f t="shared" si="30"/>
        <v>1997</v>
      </c>
      <c r="C221" s="23">
        <f>('Case Study II'!C12-'Case Study II'!C64)/'Case Study III'!C65*1000</f>
        <v>6457.960644007156</v>
      </c>
      <c r="D221" s="23">
        <f>('Case Study II'!D12-'Case Study II'!D64)/'Case Study III'!D65*1000</f>
        <v>6573.394495412844</v>
      </c>
      <c r="E221" s="23">
        <f>('Case Study II'!E12-'Case Study II'!E64)/'Case Study III'!E65*1000</f>
        <v>6328.990228013029</v>
      </c>
      <c r="F221" s="23">
        <f>('Case Study II'!F12-'Case Study II'!F64)/'Case Study III'!F65*1000</f>
        <v>4448.9795918367345</v>
      </c>
      <c r="G221" s="23">
        <f>('Case Study II'!G12-'Case Study II'!G64)/'Case Study III'!G65*1000</f>
        <v>7551.724137931034</v>
      </c>
      <c r="H221" s="23">
        <f>IF(OR(H169=0,H169="",H65=""),"",H65/H169*1000)</f>
      </c>
      <c r="I221" s="23">
        <f t="shared" si="31"/>
      </c>
    </row>
    <row r="222" spans="2:9" ht="12.75">
      <c r="B222" s="8">
        <f t="shared" si="30"/>
        <v>1998</v>
      </c>
      <c r="C222" s="23">
        <f>('Case Study II'!C13-'Case Study II'!C65)/'Case Study III'!C66*1000</f>
        <v>6894.736842105262</v>
      </c>
      <c r="D222" s="23">
        <f>('Case Study II'!D13-'Case Study II'!D65)/'Case Study III'!D66*1000</f>
        <v>7863.539445628998</v>
      </c>
      <c r="E222" s="23">
        <f>('Case Study II'!E13-'Case Study II'!E65)/'Case Study III'!E66*1000</f>
        <v>6577.142857142858</v>
      </c>
      <c r="F222" s="23">
        <f>('Case Study II'!F13-'Case Study II'!F65)/'Case Study III'!F66*1000</f>
        <v>5872.881355932203</v>
      </c>
      <c r="G222" s="23">
        <f>IF(OR(G170=0,G170="",G66=""),"",G66/G170*1000)</f>
      </c>
      <c r="H222" s="23">
        <f>IF(OR(H170=0,H170="",H66=""),"",H66/H170*1000)</f>
      </c>
      <c r="I222" s="23">
        <f t="shared" si="31"/>
      </c>
    </row>
    <row r="223" spans="2:9" ht="12.75">
      <c r="B223" s="8">
        <f t="shared" si="30"/>
        <v>1999</v>
      </c>
      <c r="C223" s="23">
        <f>('Case Study II'!C14-'Case Study II'!C66)/'Case Study III'!C67*1000</f>
        <v>7257.703081232493</v>
      </c>
      <c r="D223" s="23">
        <f>('Case Study II'!D14-'Case Study II'!D66)/'Case Study III'!D67*1000</f>
        <v>8097.928436911488</v>
      </c>
      <c r="E223" s="23">
        <f>('Case Study II'!E14-'Case Study II'!E66)/'Case Study III'!E67*1000</f>
        <v>8221.932114882506</v>
      </c>
      <c r="F223" s="23">
        <f>IF(OR(F171=0,F171="",F67=""),"",F67/F171*1000)</f>
      </c>
      <c r="G223" s="23">
        <f>IF(OR(G171=0,G171="",G67=""),"",G67/G171*1000)</f>
      </c>
      <c r="H223" s="23">
        <f>IF(OR(H171=0,H171="",H67=""),"",H67/H171*1000)</f>
      </c>
      <c r="I223" s="23">
        <f t="shared" si="31"/>
      </c>
    </row>
    <row r="224" spans="2:9" ht="12.75">
      <c r="B224" s="8">
        <f t="shared" si="30"/>
        <v>2000</v>
      </c>
      <c r="C224" s="23">
        <f>('Case Study II'!C15-'Case Study II'!C67)/'Case Study III'!C68*1000</f>
        <v>7982.9302987197725</v>
      </c>
      <c r="D224" s="23">
        <f>('Case Study II'!D15-'Case Study II'!D67)/'Case Study III'!D68*1000</f>
        <v>11499.068901303537</v>
      </c>
      <c r="E224" s="23">
        <f>IF(OR(E172=0,E172="",E68=""),"",E68/E172*1000)</f>
      </c>
      <c r="F224" s="23">
        <f>IF(OR(F172=0,F172="",F68=""),"",F68/F172*1000)</f>
      </c>
      <c r="G224" s="23">
        <f>IF(OR(G172=0,G172="",G68=""),"",G68/G172*1000)</f>
      </c>
      <c r="H224" s="23">
        <f>IF(OR(H172=0,H172="",H68=""),"",H68/H172*1000)</f>
      </c>
      <c r="I224" s="23">
        <f t="shared" si="31"/>
      </c>
    </row>
    <row r="225" spans="2:9" ht="12.75">
      <c r="B225" s="57">
        <f>B17</f>
        <v>2001</v>
      </c>
      <c r="C225" s="23">
        <f>('Case Study II'!C16-'Case Study II'!C68)/'Case Study III'!C69*1000</f>
        <v>10378.091872791518</v>
      </c>
      <c r="D225" s="23">
        <f>IF(OR(D173=0,D173="",D69=""),"",D69/D173*1000)</f>
      </c>
      <c r="E225" s="23">
        <f>IF(OR(E173=0,E173="",E69=""),"",E69/E173*1000)</f>
      </c>
      <c r="F225" s="23">
        <f>IF(OR(F173=0,F173="",F69=""),"",F69/F173*1000)</f>
      </c>
      <c r="G225" s="23">
        <f>IF(OR(G173=0,G173="",G69=""),"",G69/G173*1000)</f>
      </c>
      <c r="H225" s="23">
        <f>IF(OR(H173=0,H173="",H69=""),"",H69/H173*1000)</f>
      </c>
      <c r="I225" s="23">
        <f t="shared" si="31"/>
      </c>
    </row>
    <row r="228" ht="12.75">
      <c r="C228" s="22" t="s">
        <v>77</v>
      </c>
    </row>
    <row r="229" ht="12.75">
      <c r="B229" s="8" t="str">
        <f>B217</f>
        <v>Accident</v>
      </c>
    </row>
    <row r="230" spans="2:9" ht="12.75">
      <c r="B230" s="9" t="str">
        <f>B218</f>
        <v>Year</v>
      </c>
      <c r="C230" s="9">
        <f aca="true" t="shared" si="32" ref="C230:I230">C218</f>
        <v>12</v>
      </c>
      <c r="D230" s="9">
        <f t="shared" si="32"/>
        <v>24</v>
      </c>
      <c r="E230" s="9">
        <f t="shared" si="32"/>
        <v>36</v>
      </c>
      <c r="F230" s="9">
        <f t="shared" si="32"/>
        <v>48</v>
      </c>
      <c r="G230" s="9">
        <f t="shared" si="32"/>
        <v>60</v>
      </c>
      <c r="H230" s="9">
        <f t="shared" si="32"/>
        <v>72</v>
      </c>
      <c r="I230" s="9">
        <f t="shared" si="32"/>
        <v>84</v>
      </c>
    </row>
    <row r="231" spans="2:9" ht="12.75">
      <c r="B231" s="8">
        <f aca="true" t="shared" si="33" ref="B231:B236">B220</f>
        <v>1996</v>
      </c>
      <c r="C231" s="53">
        <f aca="true" t="shared" si="34" ref="C231:H231">C220/C219-1</f>
        <v>-0.08966289531605987</v>
      </c>
      <c r="D231" s="53">
        <f t="shared" si="34"/>
        <v>0.042285096791622845</v>
      </c>
      <c r="E231" s="53">
        <f t="shared" si="34"/>
        <v>0.1152545239303231</v>
      </c>
      <c r="F231" s="53">
        <f t="shared" si="34"/>
        <v>0.1605083088954058</v>
      </c>
      <c r="G231" s="53">
        <f t="shared" si="34"/>
        <v>0.16092995169082114</v>
      </c>
      <c r="H231" s="53">
        <f t="shared" si="34"/>
        <v>0.37952127659574475</v>
      </c>
      <c r="I231" s="48"/>
    </row>
    <row r="232" spans="2:9" ht="12.75">
      <c r="B232" s="8">
        <f t="shared" si="33"/>
        <v>1997</v>
      </c>
      <c r="C232" s="54">
        <f>C221/C220-1</f>
        <v>0.03537385284407413</v>
      </c>
      <c r="D232" s="54">
        <f>D221/D220-1</f>
        <v>-0.060571887235139954</v>
      </c>
      <c r="E232" s="54">
        <f>E221/E220-1</f>
        <v>-0.05849732145260733</v>
      </c>
      <c r="F232" s="54">
        <f>F221/F220-1</f>
        <v>-0.1343376973430883</v>
      </c>
      <c r="G232" s="54">
        <f>G221/G220-1</f>
        <v>0.11950136765167474</v>
      </c>
      <c r="H232" s="49">
        <f>IF(OR(H220=0,I220=""),"",I220/H220)</f>
      </c>
      <c r="I232" s="49"/>
    </row>
    <row r="233" spans="2:9" ht="12.75">
      <c r="B233" s="8">
        <f t="shared" si="33"/>
        <v>1998</v>
      </c>
      <c r="C233" s="54">
        <f>C222/C221-1</f>
        <v>0.06763376585508074</v>
      </c>
      <c r="D233" s="54">
        <f>D222/D221-1</f>
        <v>0.19626768956533258</v>
      </c>
      <c r="E233" s="54">
        <f>E222/E221-1</f>
        <v>0.03920888169987524</v>
      </c>
      <c r="F233" s="54">
        <f>F222/F221-1</f>
        <v>0.3200513139480641</v>
      </c>
      <c r="G233" s="49">
        <f>IF(OR(G221=0,H221=""),"",H221/G221)</f>
      </c>
      <c r="H233" s="49">
        <f>IF(OR(H221=0,I221=""),"",I221/H221)</f>
      </c>
      <c r="I233" s="49"/>
    </row>
    <row r="234" spans="2:9" ht="12.75">
      <c r="B234" s="8">
        <f t="shared" si="33"/>
        <v>1999</v>
      </c>
      <c r="C234" s="54">
        <f>C223/C222-1</f>
        <v>0.05264395834669755</v>
      </c>
      <c r="D234" s="54">
        <f>D223/D222-1</f>
        <v>0.029807059900077926</v>
      </c>
      <c r="E234" s="54">
        <f>E223/E222-1</f>
        <v>0.2500765596042036</v>
      </c>
      <c r="F234" s="49">
        <f>IF(OR(F222=0,G222=""),"",G222/F222)</f>
      </c>
      <c r="G234" s="49">
        <f>IF(OR(G222=0,H222=""),"",H222/G222)</f>
      </c>
      <c r="H234" s="49">
        <f>IF(OR(H222=0,I222=""),"",I222/H222)</f>
      </c>
      <c r="I234" s="49"/>
    </row>
    <row r="235" spans="2:9" ht="12.75">
      <c r="B235" s="8">
        <f t="shared" si="33"/>
        <v>2000</v>
      </c>
      <c r="C235" s="54">
        <f>C224/C223-1</f>
        <v>0.0999251704527051</v>
      </c>
      <c r="D235" s="54">
        <f>D224/D223-1</f>
        <v>0.4200012992074833</v>
      </c>
      <c r="E235" s="49">
        <f>IF(OR(E223=0,F223=""),"",F223/E223)</f>
      </c>
      <c r="F235" s="49">
        <f>IF(OR(F223=0,G223=""),"",G223/F223)</f>
      </c>
      <c r="G235" s="49">
        <f>IF(OR(G223=0,H223=""),"",H223/G223)</f>
      </c>
      <c r="H235" s="49">
        <f>IF(OR(H223=0,I223=""),"",I223/H223)</f>
      </c>
      <c r="I235" s="49"/>
    </row>
    <row r="236" spans="2:9" ht="12.75">
      <c r="B236" s="8">
        <f t="shared" si="33"/>
        <v>2001</v>
      </c>
      <c r="C236" s="54">
        <f>C225/C224-1</f>
        <v>0.3000353860606624</v>
      </c>
      <c r="D236" s="49">
        <f>IF(OR(D224=0,E224=""),"",E224/D224)</f>
      </c>
      <c r="E236" s="49">
        <f>IF(OR(E224=0,F224=""),"",F224/E224)</f>
      </c>
      <c r="F236" s="49">
        <f>IF(OR(F224=0,G224=""),"",G224/F224)</f>
      </c>
      <c r="G236" s="49">
        <f>IF(OR(G224=0,H224=""),"",H224/G224)</f>
      </c>
      <c r="H236" s="49">
        <f>IF(OR(H224=0,I224=""),"",I224/H224)</f>
      </c>
      <c r="I236" s="49"/>
    </row>
    <row r="237" ht="12.75">
      <c r="B237" s="8"/>
    </row>
    <row r="241" spans="2:9" ht="12.75">
      <c r="B241" s="21"/>
      <c r="C241" s="15"/>
      <c r="D241" s="15"/>
      <c r="E241" s="15"/>
      <c r="F241" s="15"/>
      <c r="G241" s="15"/>
      <c r="H241" s="15"/>
      <c r="I241" s="15"/>
    </row>
    <row r="242" ht="12.75">
      <c r="B242" s="22"/>
    </row>
  </sheetData>
  <printOptions horizontalCentered="1"/>
  <pageMargins left="0.25" right="0.25" top="0.5" bottom="0.5" header="0.25" footer="0.25"/>
  <pageSetup blackAndWhite="1"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133"/>
  <sheetViews>
    <sheetView showGridLines="0" zoomScale="75" zoomScaleNormal="75" workbookViewId="0" topLeftCell="J1">
      <selection activeCell="X1" sqref="X1"/>
    </sheetView>
  </sheetViews>
  <sheetFormatPr defaultColWidth="9.140625" defaultRowHeight="12.75"/>
  <cols>
    <col min="1" max="1" width="9.28125" style="0" customWidth="1"/>
    <col min="2" max="2" width="13.7109375" style="0" customWidth="1"/>
    <col min="3" max="3" width="10.7109375" style="0" bestFit="1" customWidth="1"/>
    <col min="4" max="4" width="9.28125" style="0" customWidth="1"/>
    <col min="5" max="5" width="10.28125" style="0" bestFit="1" customWidth="1"/>
    <col min="6" max="9" width="9.28125" style="0" customWidth="1"/>
    <col min="14" max="14" width="14.421875" style="0" customWidth="1"/>
    <col min="15" max="15" width="11.00390625" style="0" customWidth="1"/>
  </cols>
  <sheetData>
    <row r="4" spans="2:14" ht="12.75">
      <c r="B4" t="str">
        <f>title1</f>
        <v>Monstertruck Mutual</v>
      </c>
      <c r="N4" t="str">
        <f>title1</f>
        <v>Monstertruck Mutual</v>
      </c>
    </row>
    <row r="5" spans="2:14" ht="12.75">
      <c r="B5" t="str">
        <f>line&amp;" - Variant Case"</f>
        <v>Commercial Automobile Liability - Variant Case</v>
      </c>
      <c r="N5" t="str">
        <f>line&amp;" - Variant Case"</f>
        <v>Commercial Automobile Liability - Variant Case</v>
      </c>
    </row>
    <row r="6" spans="2:14" ht="12.75">
      <c r="B6" t="s">
        <v>86</v>
      </c>
      <c r="N6" t="s">
        <v>124</v>
      </c>
    </row>
    <row r="7" spans="2:15" ht="12.75">
      <c r="B7" s="4"/>
      <c r="C7" t="s">
        <v>163</v>
      </c>
      <c r="N7" s="4"/>
      <c r="O7" t="s">
        <v>164</v>
      </c>
    </row>
    <row r="9" spans="3:15" ht="12.75">
      <c r="C9" t="s">
        <v>85</v>
      </c>
      <c r="O9" t="s">
        <v>125</v>
      </c>
    </row>
    <row r="10" spans="2:15" ht="12.75">
      <c r="B10" s="57" t="s">
        <v>0</v>
      </c>
      <c r="C10" s="22"/>
      <c r="N10" s="57" t="s">
        <v>0</v>
      </c>
      <c r="O10" s="22"/>
    </row>
    <row r="11" spans="2:21" ht="12.75">
      <c r="B11" s="56" t="s">
        <v>1</v>
      </c>
      <c r="C11" s="56">
        <v>12</v>
      </c>
      <c r="D11" s="9">
        <f aca="true" t="shared" si="0" ref="D11:I11">C11+12</f>
        <v>24</v>
      </c>
      <c r="E11" s="9">
        <f t="shared" si="0"/>
        <v>36</v>
      </c>
      <c r="F11" s="9">
        <f t="shared" si="0"/>
        <v>48</v>
      </c>
      <c r="G11" s="9">
        <f t="shared" si="0"/>
        <v>60</v>
      </c>
      <c r="H11" s="9">
        <f t="shared" si="0"/>
        <v>72</v>
      </c>
      <c r="I11" s="9">
        <f t="shared" si="0"/>
        <v>84</v>
      </c>
      <c r="N11" s="56" t="s">
        <v>1</v>
      </c>
      <c r="O11" s="56">
        <v>12</v>
      </c>
      <c r="P11" s="9">
        <f aca="true" t="shared" si="1" ref="P11:U11">O11+12</f>
        <v>24</v>
      </c>
      <c r="Q11" s="9">
        <f t="shared" si="1"/>
        <v>36</v>
      </c>
      <c r="R11" s="9">
        <f t="shared" si="1"/>
        <v>48</v>
      </c>
      <c r="S11" s="9">
        <f t="shared" si="1"/>
        <v>60</v>
      </c>
      <c r="T11" s="9">
        <f t="shared" si="1"/>
        <v>72</v>
      </c>
      <c r="U11" s="9">
        <f t="shared" si="1"/>
        <v>84</v>
      </c>
    </row>
    <row r="12" spans="2:21" ht="12.75">
      <c r="B12" s="8">
        <f aca="true" t="shared" si="2" ref="B12:B17">B13-1</f>
        <v>1995</v>
      </c>
      <c r="C12" s="23">
        <f>('Case Study II'!C10-'Case Study II'!C62)/'Case Study III'!C63*1000</f>
        <v>6851.662404092072</v>
      </c>
      <c r="D12" s="23">
        <f>('Case Study II'!D10-'Case Study II'!D62)/'Case Study III'!D63*1000</f>
        <v>6713.355048859935</v>
      </c>
      <c r="E12" s="23">
        <f>('Case Study II'!E10-'Case Study II'!E62)/'Case Study III'!E63*1000</f>
        <v>6027.522935779816</v>
      </c>
      <c r="F12" s="23">
        <f>('Case Study II'!F10-'Case Study II'!F62)/'Case Study III'!F63*1000</f>
        <v>4428.571428571428</v>
      </c>
      <c r="G12" s="23">
        <f>('Case Study II'!G10-'Case Study II'!G62)/'Case Study III'!G63*1000</f>
        <v>5810.526315789474</v>
      </c>
      <c r="H12" s="23">
        <f>('Case Study II'!H10-'Case Study II'!H62)/'Case Study III'!H63*1000</f>
        <v>12307.692307692309</v>
      </c>
      <c r="I12" s="23">
        <f>('Case Study II'!I10-'Case Study II'!I62)/'Case Study III'!I63*1000</f>
        <v>22294.11764705882</v>
      </c>
      <c r="N12" s="8">
        <f aca="true" t="shared" si="3" ref="N12:N17">N13-1</f>
        <v>1995</v>
      </c>
      <c r="O12" s="23">
        <f>'Case Study II'!C10</f>
        <v>4392</v>
      </c>
      <c r="P12" s="23">
        <f>'Case Study II'!D10</f>
        <v>5819</v>
      </c>
      <c r="Q12" s="23">
        <f>'Case Study II'!E10</f>
        <v>6553</v>
      </c>
      <c r="R12" s="23">
        <f>'Case Study II'!F10</f>
        <v>6979</v>
      </c>
      <c r="S12" s="23">
        <f>'Case Study II'!G10</f>
        <v>7209</v>
      </c>
      <c r="T12" s="23">
        <f>'Case Study II'!H10</f>
        <v>7317</v>
      </c>
      <c r="U12" s="23">
        <f>'Case Study II'!I10</f>
        <v>7332</v>
      </c>
    </row>
    <row r="13" spans="2:21" ht="12.75">
      <c r="B13" s="8">
        <f t="shared" si="2"/>
        <v>1996</v>
      </c>
      <c r="C13" s="23">
        <f>('Case Study II'!C11-'Case Study II'!C63)/'Case Study III'!C64*1000</f>
        <v>6237.322515212982</v>
      </c>
      <c r="D13" s="23">
        <f>('Case Study II'!D11-'Case Study II'!D63)/'Case Study III'!D64*1000</f>
        <v>6997.229916897507</v>
      </c>
      <c r="E13" s="23">
        <f>('Case Study II'!E11-'Case Study II'!E63)/'Case Study III'!E64*1000</f>
        <v>6722.222222222223</v>
      </c>
      <c r="F13" s="23">
        <f>('Case Study II'!F11-'Case Study II'!F63)/'Case Study III'!F64*1000</f>
        <v>5139.39393939394</v>
      </c>
      <c r="G13" s="23">
        <f>('Case Study II'!G11-'Case Study II'!G63)/'Case Study III'!G64*1000</f>
        <v>6745.6140350877195</v>
      </c>
      <c r="H13" s="23">
        <f>('Case Study II'!H11-'Case Study II'!H63)/'Case Study III'!H64*1000</f>
        <v>16978.72340425532</v>
      </c>
      <c r="I13" s="23"/>
      <c r="N13" s="8">
        <f t="shared" si="3"/>
        <v>1996</v>
      </c>
      <c r="O13" s="23">
        <f>'Case Study II'!C11</f>
        <v>5117</v>
      </c>
      <c r="P13" s="23">
        <f>'Case Study II'!D11</f>
        <v>6913</v>
      </c>
      <c r="Q13" s="23">
        <f>'Case Study II'!E11</f>
        <v>7950</v>
      </c>
      <c r="R13" s="23">
        <f>'Case Study II'!F11</f>
        <v>8399</v>
      </c>
      <c r="S13" s="23">
        <f>'Case Study II'!G11</f>
        <v>8728</v>
      </c>
      <c r="T13" s="23">
        <f>'Case Study II'!H11</f>
        <v>9020</v>
      </c>
      <c r="U13" s="23"/>
    </row>
    <row r="14" spans="2:21" ht="12.75">
      <c r="B14" s="8">
        <f t="shared" si="2"/>
        <v>1997</v>
      </c>
      <c r="C14" s="23">
        <f>('Case Study II'!C12-'Case Study II'!C64)/'Case Study III'!C65*1000</f>
        <v>6457.960644007156</v>
      </c>
      <c r="D14" s="23">
        <f>('Case Study II'!D12-'Case Study II'!D64)/'Case Study III'!D65*1000</f>
        <v>6573.394495412844</v>
      </c>
      <c r="E14" s="23">
        <f>('Case Study II'!E12-'Case Study II'!E64)/'Case Study III'!E65*1000</f>
        <v>6328.990228013029</v>
      </c>
      <c r="F14" s="23">
        <f>('Case Study II'!F12-'Case Study II'!F64)/'Case Study III'!F65*1000</f>
        <v>4448.9795918367345</v>
      </c>
      <c r="G14" s="23">
        <f>('Case Study II'!G12-'Case Study II'!G64)/'Case Study III'!G65*1000</f>
        <v>7551.724137931034</v>
      </c>
      <c r="H14" s="23"/>
      <c r="I14" s="23"/>
      <c r="N14" s="8">
        <f t="shared" si="3"/>
        <v>1997</v>
      </c>
      <c r="O14" s="23">
        <f>'Case Study II'!C12</f>
        <v>5833</v>
      </c>
      <c r="P14" s="23">
        <f>'Case Study II'!D12</f>
        <v>7799</v>
      </c>
      <c r="Q14" s="23">
        <f>'Case Study II'!E12</f>
        <v>8883</v>
      </c>
      <c r="R14" s="23">
        <f>'Case Study II'!F12</f>
        <v>9339</v>
      </c>
      <c r="S14" s="23">
        <f>'Case Study II'!G12</f>
        <v>9817</v>
      </c>
      <c r="T14" s="23"/>
      <c r="U14" s="23"/>
    </row>
    <row r="15" spans="2:21" ht="12.75">
      <c r="B15" s="8">
        <f t="shared" si="2"/>
        <v>1998</v>
      </c>
      <c r="C15" s="23">
        <f>('Case Study II'!C13-'Case Study II'!C65)/'Case Study III'!C66*1000</f>
        <v>6894.736842105262</v>
      </c>
      <c r="D15" s="23">
        <f>('Case Study II'!D13-'Case Study II'!D65)/'Case Study III'!D66*1000</f>
        <v>7863.539445628998</v>
      </c>
      <c r="E15" s="23">
        <f>('Case Study II'!E13-'Case Study II'!E65)/'Case Study III'!E66*1000</f>
        <v>6577.142857142858</v>
      </c>
      <c r="F15" s="23">
        <f>('Case Study II'!F13-'Case Study II'!F65)/'Case Study III'!F66*1000</f>
        <v>5872.881355932203</v>
      </c>
      <c r="G15" s="23"/>
      <c r="H15" s="23"/>
      <c r="I15" s="23"/>
      <c r="N15" s="8">
        <f t="shared" si="3"/>
        <v>1998</v>
      </c>
      <c r="O15" s="23">
        <f>'Case Study II'!C13</f>
        <v>6912</v>
      </c>
      <c r="P15" s="23">
        <f>'Case Study II'!D13</f>
        <v>9732</v>
      </c>
      <c r="Q15" s="23">
        <f>'Case Study II'!E13</f>
        <v>11036</v>
      </c>
      <c r="R15" s="23">
        <f>'Case Study II'!F13</f>
        <v>12024</v>
      </c>
      <c r="S15" s="23"/>
      <c r="T15" s="23"/>
      <c r="U15" s="23"/>
    </row>
    <row r="16" spans="2:21" ht="12.75">
      <c r="B16" s="8">
        <f t="shared" si="2"/>
        <v>1999</v>
      </c>
      <c r="C16" s="23">
        <f>('Case Study II'!C14-'Case Study II'!C66)/'Case Study III'!C67*1000</f>
        <v>7257.703081232493</v>
      </c>
      <c r="D16" s="23">
        <f>('Case Study II'!D14-'Case Study II'!D66)/'Case Study III'!D67*1000</f>
        <v>8097.928436911488</v>
      </c>
      <c r="E16" s="23">
        <f>('Case Study II'!E14-'Case Study II'!E66)/'Case Study III'!E67*1000</f>
        <v>8221.932114882506</v>
      </c>
      <c r="F16" s="23"/>
      <c r="G16" s="23"/>
      <c r="H16" s="23"/>
      <c r="I16" s="23"/>
      <c r="N16" s="8">
        <f t="shared" si="3"/>
        <v>1999</v>
      </c>
      <c r="O16" s="23">
        <f>'Case Study II'!C14</f>
        <v>8225</v>
      </c>
      <c r="P16" s="23">
        <f>'Case Study II'!D14</f>
        <v>11787</v>
      </c>
      <c r="Q16" s="23">
        <f>'Case Study II'!E14</f>
        <v>14042</v>
      </c>
      <c r="R16" s="23"/>
      <c r="S16" s="23"/>
      <c r="T16" s="23"/>
      <c r="U16" s="23"/>
    </row>
    <row r="17" spans="2:21" ht="12.75">
      <c r="B17" s="8">
        <f t="shared" si="2"/>
        <v>2000</v>
      </c>
      <c r="C17" s="23">
        <f>('Case Study II'!C15-'Case Study II'!C67)/'Case Study III'!C68*1000</f>
        <v>7982.9302987197725</v>
      </c>
      <c r="D17" s="23">
        <f>('Case Study II'!D15-'Case Study II'!D67)/'Case Study III'!D68*1000</f>
        <v>11499.068901303537</v>
      </c>
      <c r="E17" s="23"/>
      <c r="F17" s="23"/>
      <c r="G17" s="23"/>
      <c r="H17" s="23"/>
      <c r="I17" s="23"/>
      <c r="N17" s="8">
        <f t="shared" si="3"/>
        <v>2000</v>
      </c>
      <c r="O17" s="23">
        <f>'Case Study II'!C15</f>
        <v>8980</v>
      </c>
      <c r="P17" s="23">
        <f>'Case Study II'!D15</f>
        <v>14107</v>
      </c>
      <c r="Q17" s="23"/>
      <c r="R17" s="23"/>
      <c r="S17" s="23"/>
      <c r="T17" s="23"/>
      <c r="U17" s="23"/>
    </row>
    <row r="18" spans="2:21" ht="12.75">
      <c r="B18" s="57">
        <f>curryr</f>
        <v>2001</v>
      </c>
      <c r="C18" s="23">
        <f>('Case Study II'!C16-'Case Study II'!C68)/'Case Study III'!C69*1000</f>
        <v>10378.091872791518</v>
      </c>
      <c r="D18" s="23"/>
      <c r="E18" s="23"/>
      <c r="F18" s="23"/>
      <c r="G18" s="23"/>
      <c r="H18" s="23"/>
      <c r="I18" s="23"/>
      <c r="N18" s="57">
        <f>B18</f>
        <v>2001</v>
      </c>
      <c r="O18" s="23">
        <f>'Case Study II'!C16</f>
        <v>13181</v>
      </c>
      <c r="P18" s="23"/>
      <c r="Q18" s="23"/>
      <c r="R18" s="23"/>
      <c r="S18" s="23"/>
      <c r="T18" s="23"/>
      <c r="U18" s="23"/>
    </row>
    <row r="19" ht="12.75">
      <c r="B19" s="109"/>
    </row>
    <row r="20" spans="2:15" ht="12.75">
      <c r="B20" s="106"/>
      <c r="O20" t="s">
        <v>88</v>
      </c>
    </row>
    <row r="21" spans="2:14" ht="12.75">
      <c r="B21" s="110" t="str">
        <f>"     Restated Average Case O/S Losses (Latest Diagonal Deflated using "&amp;(trend*100)&amp;"% Annual Trend Rate)"</f>
        <v>     Restated Average Case O/S Losses (Latest Diagonal Deflated using 9% Annual Trend Rate)</v>
      </c>
      <c r="N21" s="8" t="str">
        <f aca="true" t="shared" si="4" ref="N21:N29">N10</f>
        <v>Accident</v>
      </c>
    </row>
    <row r="22" spans="2:21" ht="12.75">
      <c r="B22" s="8" t="str">
        <f aca="true" t="shared" si="5" ref="B22:B30">B10</f>
        <v>Accident</v>
      </c>
      <c r="N22" s="9" t="str">
        <f t="shared" si="4"/>
        <v>Year</v>
      </c>
      <c r="O22" s="9">
        <f aca="true" t="shared" si="6" ref="O22:U22">O11</f>
        <v>12</v>
      </c>
      <c r="P22" s="9">
        <f t="shared" si="6"/>
        <v>24</v>
      </c>
      <c r="Q22" s="9">
        <f t="shared" si="6"/>
        <v>36</v>
      </c>
      <c r="R22" s="9">
        <f t="shared" si="6"/>
        <v>48</v>
      </c>
      <c r="S22" s="9">
        <f t="shared" si="6"/>
        <v>60</v>
      </c>
      <c r="T22" s="9">
        <f t="shared" si="6"/>
        <v>72</v>
      </c>
      <c r="U22" s="9">
        <f t="shared" si="6"/>
        <v>84</v>
      </c>
    </row>
    <row r="23" spans="2:21" ht="12.75">
      <c r="B23" s="9" t="str">
        <f t="shared" si="5"/>
        <v>Year</v>
      </c>
      <c r="C23" s="9">
        <f aca="true" t="shared" si="7" ref="C23:I23">C11</f>
        <v>12</v>
      </c>
      <c r="D23" s="9">
        <f t="shared" si="7"/>
        <v>24</v>
      </c>
      <c r="E23" s="9">
        <f t="shared" si="7"/>
        <v>36</v>
      </c>
      <c r="F23" s="9">
        <f t="shared" si="7"/>
        <v>48</v>
      </c>
      <c r="G23" s="9">
        <f t="shared" si="7"/>
        <v>60</v>
      </c>
      <c r="H23" s="9">
        <f t="shared" si="7"/>
        <v>72</v>
      </c>
      <c r="I23" s="9">
        <f t="shared" si="7"/>
        <v>84</v>
      </c>
      <c r="N23" s="8">
        <f t="shared" si="4"/>
        <v>1995</v>
      </c>
      <c r="O23" s="60">
        <f>'Case Study II'!C62</f>
        <v>1713</v>
      </c>
      <c r="P23" s="60">
        <f>'Case Study II'!D62</f>
        <v>3758</v>
      </c>
      <c r="Q23" s="60">
        <f>'Case Study II'!E62</f>
        <v>5239</v>
      </c>
      <c r="R23" s="60">
        <f>'Case Study II'!F62</f>
        <v>6328</v>
      </c>
      <c r="S23" s="60">
        <f>'Case Study II'!G62</f>
        <v>6657</v>
      </c>
      <c r="T23" s="60">
        <f>'Case Study II'!H62</f>
        <v>6837</v>
      </c>
      <c r="U23" s="60">
        <f>'Case Study II'!I62</f>
        <v>6953</v>
      </c>
    </row>
    <row r="24" spans="2:21" ht="12.75">
      <c r="B24" s="8">
        <f t="shared" si="5"/>
        <v>1995</v>
      </c>
      <c r="C24" s="60">
        <f aca="true" t="shared" si="8" ref="C24:H24">C25/(1+trend)</f>
        <v>6188.117099096314</v>
      </c>
      <c r="D24" s="58">
        <f t="shared" si="8"/>
        <v>7473.605792164398</v>
      </c>
      <c r="E24" s="58">
        <f t="shared" si="8"/>
        <v>5824.623993849355</v>
      </c>
      <c r="F24" s="58">
        <f t="shared" si="8"/>
        <v>4534.941963409469</v>
      </c>
      <c r="G24" s="58">
        <f t="shared" si="8"/>
        <v>6356.135121564711</v>
      </c>
      <c r="H24" s="58">
        <f t="shared" si="8"/>
        <v>15576.81046261956</v>
      </c>
      <c r="I24" s="59">
        <f>I12</f>
        <v>22294.11764705882</v>
      </c>
      <c r="N24" s="8">
        <f t="shared" si="4"/>
        <v>1996</v>
      </c>
      <c r="O24" s="60">
        <f>'Case Study II'!C63</f>
        <v>2042</v>
      </c>
      <c r="P24" s="60">
        <f>'Case Study II'!D63</f>
        <v>4387</v>
      </c>
      <c r="Q24" s="60">
        <f>'Case Study II'!E63</f>
        <v>6256</v>
      </c>
      <c r="R24" s="60">
        <f>'Case Study II'!F63</f>
        <v>7551</v>
      </c>
      <c r="S24" s="60">
        <f>'Case Study II'!G63</f>
        <v>7959</v>
      </c>
      <c r="T24" s="60">
        <f>'Case Study II'!H63</f>
        <v>8222</v>
      </c>
      <c r="U24" s="49"/>
    </row>
    <row r="25" spans="2:21" ht="12.75">
      <c r="B25" s="8">
        <f t="shared" si="5"/>
        <v>1996</v>
      </c>
      <c r="C25" s="60">
        <f>C26/(1+trend)</f>
        <v>6745.047638014982</v>
      </c>
      <c r="D25" s="58">
        <f>D26/(1+trend)</f>
        <v>8146.230313459194</v>
      </c>
      <c r="E25" s="58">
        <f>E26/(1+trend)</f>
        <v>6348.840153295798</v>
      </c>
      <c r="F25" s="58">
        <f>F26/(1+trend)</f>
        <v>4943.086740116322</v>
      </c>
      <c r="G25" s="58">
        <f>G26/(1+trend)</f>
        <v>6928.187282505535</v>
      </c>
      <c r="H25" s="58">
        <f>H13</f>
        <v>16978.72340425532</v>
      </c>
      <c r="I25" s="49"/>
      <c r="N25" s="8">
        <f t="shared" si="4"/>
        <v>1997</v>
      </c>
      <c r="O25" s="60">
        <f>'Case Study II'!C64</f>
        <v>2223</v>
      </c>
      <c r="P25" s="60">
        <f>'Case Study II'!D64</f>
        <v>4933</v>
      </c>
      <c r="Q25" s="60">
        <f>'Case Study II'!E64</f>
        <v>6940</v>
      </c>
      <c r="R25" s="60">
        <f>'Case Study II'!F64</f>
        <v>8467</v>
      </c>
      <c r="S25" s="60">
        <f>'Case Study II'!G64</f>
        <v>8941</v>
      </c>
      <c r="T25" s="49">
        <f>IF(OR(T14=0,U14=""),"",U14/T14)</f>
      </c>
      <c r="U25" s="49"/>
    </row>
    <row r="26" spans="2:21" ht="12.75">
      <c r="B26" s="8">
        <f t="shared" si="5"/>
        <v>1997</v>
      </c>
      <c r="C26" s="60">
        <f>C27/(1+trend)</f>
        <v>7352.101925436331</v>
      </c>
      <c r="D26" s="58">
        <f>D27/(1+trend)</f>
        <v>8879.391041670522</v>
      </c>
      <c r="E26" s="58">
        <f>E27/(1+trend)</f>
        <v>6920.23576709242</v>
      </c>
      <c r="F26" s="58">
        <f>F27/(1+trend)</f>
        <v>5387.964546726792</v>
      </c>
      <c r="G26" s="58">
        <f>G14</f>
        <v>7551.724137931034</v>
      </c>
      <c r="H26" s="49">
        <f>IF(OR(H14=0,I14=""),"",I14/H14)</f>
      </c>
      <c r="I26" s="49"/>
      <c r="N26" s="8">
        <f t="shared" si="4"/>
        <v>1998</v>
      </c>
      <c r="O26" s="60">
        <f>'Case Study II'!C65</f>
        <v>2589</v>
      </c>
      <c r="P26" s="60">
        <f>'Case Study II'!D65</f>
        <v>6044</v>
      </c>
      <c r="Q26" s="60">
        <f>'Case Study II'!E65</f>
        <v>8734</v>
      </c>
      <c r="R26" s="60">
        <f>'Case Study II'!F65</f>
        <v>10638</v>
      </c>
      <c r="S26" s="49">
        <f>IF(OR(S15=0,T15=""),"",T15/S15)</f>
      </c>
      <c r="T26" s="49">
        <f>IF(OR(T15=0,U15=""),"",U15/T15)</f>
      </c>
      <c r="U26" s="49"/>
    </row>
    <row r="27" spans="2:21" ht="12.75">
      <c r="B27" s="8">
        <f t="shared" si="5"/>
        <v>1998</v>
      </c>
      <c r="C27" s="60">
        <f>C28/(1+trend)</f>
        <v>8013.791098725601</v>
      </c>
      <c r="D27" s="61">
        <f>D28/(1+trend)</f>
        <v>9678.53623542087</v>
      </c>
      <c r="E27" s="58">
        <f>E28/(1+trend)</f>
        <v>7543.056986130739</v>
      </c>
      <c r="F27" s="58">
        <f>F15</f>
        <v>5872.881355932203</v>
      </c>
      <c r="G27" s="49">
        <f>IF(OR(G15=0,H15=""),"",H15/G15)</f>
      </c>
      <c r="H27" s="49">
        <f>IF(OR(H15=0,I15=""),"",I15/H15)</f>
      </c>
      <c r="I27" s="49"/>
      <c r="N27" s="8">
        <f t="shared" si="4"/>
        <v>1999</v>
      </c>
      <c r="O27" s="60">
        <f>'Case Study II'!C66</f>
        <v>3043</v>
      </c>
      <c r="P27" s="60">
        <f>'Case Study II'!D66</f>
        <v>7487</v>
      </c>
      <c r="Q27" s="60">
        <f>'Case Study II'!E66</f>
        <v>10893</v>
      </c>
      <c r="R27" s="49">
        <f>IF(OR(R16=0,S16=""),"",S16/R16)</f>
      </c>
      <c r="S27" s="49">
        <f>IF(OR(S16=0,T16=""),"",T16/S16)</f>
      </c>
      <c r="T27" s="49">
        <f>IF(OR(T16=0,U16=""),"",U16/T16)</f>
      </c>
      <c r="U27" s="49"/>
    </row>
    <row r="28" spans="2:21" ht="12.75">
      <c r="B28" s="8">
        <f t="shared" si="5"/>
        <v>1999</v>
      </c>
      <c r="C28" s="60">
        <f>C29/(1+trend)</f>
        <v>8735.032297610906</v>
      </c>
      <c r="D28" s="58">
        <f>D29/(1+trend)</f>
        <v>10549.604496608748</v>
      </c>
      <c r="E28" s="58">
        <f>E16</f>
        <v>8221.932114882506</v>
      </c>
      <c r="F28" s="49">
        <f>IF(OR(F16=0,G16=""),"",G16/F16)</f>
      </c>
      <c r="G28" s="49">
        <f>IF(OR(G16=0,H16=""),"",H16/G16)</f>
      </c>
      <c r="H28" s="49">
        <f>IF(OR(H16=0,I16=""),"",I16/H16)</f>
      </c>
      <c r="I28" s="49"/>
      <c r="N28" s="8">
        <f t="shared" si="4"/>
        <v>2000</v>
      </c>
      <c r="O28" s="60">
        <f>'Case Study II'!C67</f>
        <v>3368</v>
      </c>
      <c r="P28" s="60">
        <f>'Case Study II'!D67</f>
        <v>7932</v>
      </c>
      <c r="Q28" s="49">
        <f>IF(OR(Q17=0,R17=""),"",R17/Q17)</f>
      </c>
      <c r="R28" s="49">
        <f>IF(OR(R17=0,S17=""),"",S17/R17)</f>
      </c>
      <c r="S28" s="49">
        <f>IF(OR(S17=0,T17=""),"",T17/S17)</f>
      </c>
      <c r="T28" s="49">
        <f>IF(OR(T17=0,U17=""),"",U17/T17)</f>
      </c>
      <c r="U28" s="49"/>
    </row>
    <row r="29" spans="2:15" ht="12.75">
      <c r="B29" s="8">
        <f t="shared" si="5"/>
        <v>2000</v>
      </c>
      <c r="C29" s="60">
        <f>C30/(1+trend)</f>
        <v>9521.185204395888</v>
      </c>
      <c r="D29" s="58">
        <f>D17</f>
        <v>11499.068901303537</v>
      </c>
      <c r="E29" s="49">
        <f>IF(OR(E17=0,F17=""),"",F17/E17)</f>
      </c>
      <c r="F29" s="49">
        <f>IF(OR(F17=0,G17=""),"",G17/F17)</f>
      </c>
      <c r="G29" s="49">
        <f>IF(OR(G17=0,H17=""),"",H17/G17)</f>
      </c>
      <c r="H29" s="49">
        <f>IF(OR(H17=0,I17=""),"",I17/H17)</f>
      </c>
      <c r="I29" s="49"/>
      <c r="N29" s="8">
        <f t="shared" si="4"/>
        <v>2001</v>
      </c>
      <c r="O29" s="60">
        <f>'Case Study II'!C68</f>
        <v>4370</v>
      </c>
    </row>
    <row r="30" spans="2:3" ht="12.75">
      <c r="B30" s="8">
        <f t="shared" si="5"/>
        <v>2001</v>
      </c>
      <c r="C30" s="2">
        <f>C18</f>
        <v>10378.091872791518</v>
      </c>
    </row>
    <row r="31" ht="12.75">
      <c r="O31" t="s">
        <v>126</v>
      </c>
    </row>
    <row r="32" spans="2:14" ht="12.75">
      <c r="B32" s="111" t="str">
        <f>"e.g.:  9,679 = 11,499 / (1.0"&amp;LEFT(trend*10000,2)&amp;"^2)"</f>
        <v>e.g.:  9,679 = 11,499 / (1.090^2)</v>
      </c>
      <c r="N32" s="8" t="str">
        <f aca="true" t="shared" si="9" ref="N32:N40">N21</f>
        <v>Accident</v>
      </c>
    </row>
    <row r="33" spans="14:21" ht="12.75">
      <c r="N33" s="9" t="str">
        <f t="shared" si="9"/>
        <v>Year</v>
      </c>
      <c r="O33" s="9">
        <f aca="true" t="shared" si="10" ref="O33:U33">O22</f>
        <v>12</v>
      </c>
      <c r="P33" s="9">
        <f t="shared" si="10"/>
        <v>24</v>
      </c>
      <c r="Q33" s="9">
        <f t="shared" si="10"/>
        <v>36</v>
      </c>
      <c r="R33" s="9">
        <f t="shared" si="10"/>
        <v>48</v>
      </c>
      <c r="S33" s="9">
        <f t="shared" si="10"/>
        <v>60</v>
      </c>
      <c r="T33" s="9">
        <f t="shared" si="10"/>
        <v>72</v>
      </c>
      <c r="U33" s="9">
        <f t="shared" si="10"/>
        <v>84</v>
      </c>
    </row>
    <row r="34" spans="2:21" ht="12.75">
      <c r="B34" s="113" t="s">
        <v>167</v>
      </c>
      <c r="N34" s="8">
        <f t="shared" si="9"/>
        <v>1995</v>
      </c>
      <c r="O34" s="60"/>
      <c r="P34" s="60"/>
      <c r="Q34" s="60"/>
      <c r="R34" s="60"/>
      <c r="S34" s="60"/>
      <c r="T34" s="60"/>
      <c r="U34" s="63">
        <f>U23/U12</f>
        <v>0.9483087834151664</v>
      </c>
    </row>
    <row r="35" spans="2:21" ht="12.75">
      <c r="B35" s="8" t="str">
        <f aca="true" t="shared" si="11" ref="B35:B43">B10</f>
        <v>Accident</v>
      </c>
      <c r="N35" s="8">
        <f t="shared" si="9"/>
        <v>1996</v>
      </c>
      <c r="O35" s="60"/>
      <c r="P35" s="60"/>
      <c r="Q35" s="60"/>
      <c r="R35" s="60"/>
      <c r="S35" s="60"/>
      <c r="T35" s="63">
        <f>T24/T13</f>
        <v>0.911529933481153</v>
      </c>
      <c r="U35" s="49"/>
    </row>
    <row r="36" spans="2:21" ht="12.75">
      <c r="B36" s="9" t="str">
        <f t="shared" si="11"/>
        <v>Year</v>
      </c>
      <c r="C36" s="9">
        <f aca="true" t="shared" si="12" ref="C36:I36">C11</f>
        <v>12</v>
      </c>
      <c r="D36" s="9">
        <f t="shared" si="12"/>
        <v>24</v>
      </c>
      <c r="E36" s="9">
        <f t="shared" si="12"/>
        <v>36</v>
      </c>
      <c r="F36" s="9">
        <f t="shared" si="12"/>
        <v>48</v>
      </c>
      <c r="G36" s="9">
        <f t="shared" si="12"/>
        <v>60</v>
      </c>
      <c r="H36" s="9">
        <f t="shared" si="12"/>
        <v>72</v>
      </c>
      <c r="I36" s="9">
        <f t="shared" si="12"/>
        <v>84</v>
      </c>
      <c r="N36" s="8">
        <f t="shared" si="9"/>
        <v>1997</v>
      </c>
      <c r="O36" s="60"/>
      <c r="P36" s="60"/>
      <c r="Q36" s="60"/>
      <c r="R36" s="60"/>
      <c r="S36" s="63">
        <f>S25/S14</f>
        <v>0.9107670367729449</v>
      </c>
      <c r="T36" s="49"/>
      <c r="U36" s="49"/>
    </row>
    <row r="37" spans="2:21" ht="12.75">
      <c r="B37" s="8">
        <f t="shared" si="11"/>
        <v>1995</v>
      </c>
      <c r="C37" s="60">
        <f>C24*'Case Study III'!C63/1000</f>
        <v>2419.553785746659</v>
      </c>
      <c r="D37" s="60">
        <f>D24*'Case Study III'!D63/1000</f>
        <v>2294.39697819447</v>
      </c>
      <c r="E37" s="60">
        <f>E24*'Case Study III'!E63/1000</f>
        <v>1269.7680306591594</v>
      </c>
      <c r="F37" s="60">
        <f>F24*'Case Study III'!F63/1000</f>
        <v>666.6364686211921</v>
      </c>
      <c r="G37" s="60">
        <f>G24*'Case Study III'!G63/1000</f>
        <v>603.8328365486475</v>
      </c>
      <c r="H37" s="60">
        <f>H24*'Case Study III'!H63/1000</f>
        <v>607.4956080421629</v>
      </c>
      <c r="I37" s="60">
        <f>I24*'Case Study III'!I63/1000</f>
        <v>378.99999999999994</v>
      </c>
      <c r="N37" s="8">
        <f t="shared" si="9"/>
        <v>1998</v>
      </c>
      <c r="O37" s="60"/>
      <c r="P37" s="60"/>
      <c r="Q37" s="60"/>
      <c r="R37" s="63">
        <f>R26/R15</f>
        <v>0.8847305389221557</v>
      </c>
      <c r="S37" s="49"/>
      <c r="T37" s="49"/>
      <c r="U37" s="49"/>
    </row>
    <row r="38" spans="2:21" ht="12.75">
      <c r="B38" s="8">
        <f t="shared" si="11"/>
        <v>1996</v>
      </c>
      <c r="C38" s="60">
        <f>C25*'Case Study III'!C64/1000</f>
        <v>3325.3084855413863</v>
      </c>
      <c r="D38" s="60">
        <f>D25*'Case Study III'!D64/1000</f>
        <v>2940.7891431587686</v>
      </c>
      <c r="E38" s="60">
        <f>E25*'Case Study III'!E64/1000</f>
        <v>1599.907718630541</v>
      </c>
      <c r="F38" s="60">
        <f>F25*'Case Study III'!F64/1000</f>
        <v>815.6093121191932</v>
      </c>
      <c r="G38" s="60">
        <f>G25*'Case Study III'!G64/1000</f>
        <v>789.813350205631</v>
      </c>
      <c r="H38" s="60">
        <f>H25*'Case Study III'!H64/1000</f>
        <v>798.0000000000001</v>
      </c>
      <c r="I38" s="49"/>
      <c r="N38" s="8">
        <f t="shared" si="9"/>
        <v>1999</v>
      </c>
      <c r="O38" s="60"/>
      <c r="P38" s="60"/>
      <c r="Q38" s="64">
        <f>Q27/Q16</f>
        <v>0.7757441959834781</v>
      </c>
      <c r="R38" s="65"/>
      <c r="S38" s="49"/>
      <c r="T38" s="49"/>
      <c r="U38" s="49"/>
    </row>
    <row r="39" spans="2:21" ht="12.75">
      <c r="B39" s="8">
        <f t="shared" si="11"/>
        <v>1997</v>
      </c>
      <c r="C39" s="60">
        <f>C26*'Case Study III'!C65/1000</f>
        <v>4109.824976318909</v>
      </c>
      <c r="D39" s="60">
        <f>D26*'Case Study III'!D65/1000</f>
        <v>3871.4144941683476</v>
      </c>
      <c r="E39" s="60">
        <f>E26*'Case Study III'!E65/1000</f>
        <v>2124.512380497373</v>
      </c>
      <c r="F39" s="60">
        <f>F26*'Case Study III'!F65/1000</f>
        <v>1056.0410511584512</v>
      </c>
      <c r="G39" s="60">
        <f>G26*'Case Study III'!G65/1000</f>
        <v>876</v>
      </c>
      <c r="H39" s="49">
        <f>IF(OR(H28=0,I28=""),"",I28/H28)</f>
      </c>
      <c r="I39" s="49"/>
      <c r="N39" s="8">
        <f t="shared" si="9"/>
        <v>2000</v>
      </c>
      <c r="O39" s="60"/>
      <c r="P39" s="63">
        <f>P28/P17</f>
        <v>0.5622740483447933</v>
      </c>
      <c r="Q39" s="49"/>
      <c r="R39" s="49"/>
      <c r="S39" s="82" t="s">
        <v>130</v>
      </c>
      <c r="T39" s="83"/>
      <c r="U39" s="66"/>
    </row>
    <row r="40" spans="2:15" ht="12.75">
      <c r="B40" s="8">
        <f t="shared" si="11"/>
        <v>1998</v>
      </c>
      <c r="C40" s="60">
        <f>C27*'Case Study III'!C66/1000</f>
        <v>5024.6470189009515</v>
      </c>
      <c r="D40" s="60">
        <f>D27*'Case Study III'!D66/1000</f>
        <v>4539.233494412388</v>
      </c>
      <c r="E40" s="60">
        <f>E27*'Case Study III'!E66/1000</f>
        <v>2640.0699451457585</v>
      </c>
      <c r="F40" s="60">
        <f>F27*'Case Study III'!F66/1000</f>
        <v>1386</v>
      </c>
      <c r="G40" s="49">
        <f>IF(OR(G29=0,H29=""),"",H29/G29)</f>
      </c>
      <c r="H40" s="49">
        <f>IF(OR(H29=0,I29=""),"",I29/H29)</f>
      </c>
      <c r="I40" s="49"/>
      <c r="N40" s="8">
        <f t="shared" si="9"/>
        <v>2001</v>
      </c>
      <c r="O40" s="63">
        <f>O29/O18</f>
        <v>0.3315378195888021</v>
      </c>
    </row>
    <row r="41" spans="2:9" ht="12.75">
      <c r="B41" s="8">
        <f t="shared" si="11"/>
        <v>1999</v>
      </c>
      <c r="C41" s="60">
        <f>C28*'Case Study III'!C67/1000</f>
        <v>6236.813060494186</v>
      </c>
      <c r="D41" s="60">
        <f>D28*'Case Study III'!D67/1000</f>
        <v>5601.839987699245</v>
      </c>
      <c r="E41" s="60">
        <f>E28*'Case Study III'!E67/1000</f>
        <v>3148.9999999999995</v>
      </c>
      <c r="F41" s="49">
        <f>IF(OR(F30=0,G30=""),"",G30/F30)</f>
      </c>
      <c r="G41" s="49">
        <f>IF(OR(G30=0,H30=""),"",H30/G30)</f>
      </c>
      <c r="H41" s="49">
        <f>IF(OR(H30=0,I30=""),"",I30/H30)</f>
      </c>
      <c r="I41" s="49"/>
    </row>
    <row r="42" spans="2:14" ht="12.75">
      <c r="B42" s="8">
        <f t="shared" si="11"/>
        <v>2000</v>
      </c>
      <c r="C42" s="60">
        <f>C29*'Case Study III'!C68/1000</f>
        <v>6693.393198690309</v>
      </c>
      <c r="D42" s="60">
        <f>D29*'Case Study III'!D68/1000</f>
        <v>6174.999999999999</v>
      </c>
      <c r="E42" s="49">
        <f>IF(OR(E31=0,F31=""),"",F31/E31)</f>
      </c>
      <c r="F42" s="49">
        <f>IF(OR(F31=0,G31=""),"",G31/F31)</f>
      </c>
      <c r="G42" s="49">
        <f>IF(OR(G31=0,H31=""),"",H31/G31)</f>
      </c>
      <c r="H42" s="49">
        <f>IF(OR(H31=0,I31=""),"",I31/H31)</f>
      </c>
      <c r="I42" s="49"/>
      <c r="N42" t="s">
        <v>168</v>
      </c>
    </row>
    <row r="43" spans="2:14" ht="12.75">
      <c r="B43" s="8">
        <f t="shared" si="11"/>
        <v>2001</v>
      </c>
      <c r="C43" s="60">
        <f>C30*'Case Study III'!C69/1000</f>
        <v>8810.999999999998</v>
      </c>
      <c r="N43" s="8" t="str">
        <f aca="true" t="shared" si="13" ref="N43:N51">N32</f>
        <v>Accident</v>
      </c>
    </row>
    <row r="44" spans="14:21" ht="12.75">
      <c r="N44" s="9" t="str">
        <f t="shared" si="13"/>
        <v>Year</v>
      </c>
      <c r="O44" s="9">
        <f aca="true" t="shared" si="14" ref="O44:U44">O33</f>
        <v>12</v>
      </c>
      <c r="P44" s="9">
        <f t="shared" si="14"/>
        <v>24</v>
      </c>
      <c r="Q44" s="9">
        <f t="shared" si="14"/>
        <v>36</v>
      </c>
      <c r="R44" s="9">
        <f t="shared" si="14"/>
        <v>48</v>
      </c>
      <c r="S44" s="9">
        <f t="shared" si="14"/>
        <v>60</v>
      </c>
      <c r="T44" s="9">
        <f t="shared" si="14"/>
        <v>72</v>
      </c>
      <c r="U44" s="9">
        <f t="shared" si="14"/>
        <v>84</v>
      </c>
    </row>
    <row r="45" spans="14:21" ht="12.75">
      <c r="N45" s="8">
        <f t="shared" si="13"/>
        <v>1995</v>
      </c>
      <c r="O45" s="60">
        <f aca="true" t="shared" si="15" ref="O45:O51">O23/O$40</f>
        <v>5166.831350114417</v>
      </c>
      <c r="P45" s="60">
        <f aca="true" t="shared" si="16" ref="P45:P50">P23/P$39</f>
        <v>6683.573625819466</v>
      </c>
      <c r="Q45" s="60">
        <f>Q23/Q$38</f>
        <v>6753.514917837143</v>
      </c>
      <c r="R45" s="60">
        <f>R23/R$37</f>
        <v>7152.460236886633</v>
      </c>
      <c r="S45" s="60">
        <f>S23/S$36</f>
        <v>7309.223688625433</v>
      </c>
      <c r="T45" s="60">
        <f>T23/T$35</f>
        <v>7500.576502067624</v>
      </c>
      <c r="U45" s="60">
        <f>U23/U$34</f>
        <v>7332</v>
      </c>
    </row>
    <row r="46" spans="14:21" ht="12.75">
      <c r="N46" s="8">
        <f t="shared" si="13"/>
        <v>1996</v>
      </c>
      <c r="O46" s="60">
        <f t="shared" si="15"/>
        <v>6159.176659038902</v>
      </c>
      <c r="P46" s="60">
        <f t="shared" si="16"/>
        <v>7802.245209278871</v>
      </c>
      <c r="Q46" s="60">
        <f>Q24/Q$38</f>
        <v>8064.514091618471</v>
      </c>
      <c r="R46" s="60">
        <f>R24/R$37</f>
        <v>8534.802030456853</v>
      </c>
      <c r="S46" s="60">
        <f>S24/S$36</f>
        <v>8738.78794318309</v>
      </c>
      <c r="T46" s="60">
        <f>T24/T$35</f>
        <v>9020</v>
      </c>
      <c r="U46" s="49"/>
    </row>
    <row r="47" spans="14:21" ht="12.75">
      <c r="N47" s="8">
        <f t="shared" si="13"/>
        <v>1997</v>
      </c>
      <c r="O47" s="60">
        <f t="shared" si="15"/>
        <v>6705.117391304348</v>
      </c>
      <c r="P47" s="60">
        <f t="shared" si="16"/>
        <v>8773.301941502774</v>
      </c>
      <c r="Q47" s="67">
        <f>Q25/Q$38</f>
        <v>8946.248049205913</v>
      </c>
      <c r="R47" s="60">
        <f>R25/R$37</f>
        <v>9570.14551607445</v>
      </c>
      <c r="S47" s="60">
        <f>S25/S$36</f>
        <v>9817</v>
      </c>
      <c r="T47" s="49">
        <f>IF(OR(T36=0,U36=""),"",U36/T36)</f>
      </c>
      <c r="U47" s="49"/>
    </row>
    <row r="48" spans="14:21" ht="12.75">
      <c r="N48" s="8">
        <f t="shared" si="13"/>
        <v>1998</v>
      </c>
      <c r="O48" s="60">
        <f t="shared" si="15"/>
        <v>7809.063844393592</v>
      </c>
      <c r="P48" s="60">
        <f t="shared" si="16"/>
        <v>10749.206757438225</v>
      </c>
      <c r="Q48" s="68">
        <f>Q26/Q$38</f>
        <v>11258.866060772974</v>
      </c>
      <c r="R48" s="60">
        <f>R26/R$37</f>
        <v>12024</v>
      </c>
      <c r="S48" s="49">
        <f>IF(OR(S37=0,T37=""),"",T37/S37)</f>
      </c>
      <c r="T48" s="49">
        <f>IF(OR(T37=0,U37=""),"",U37/T37)</f>
      </c>
      <c r="U48" s="49"/>
    </row>
    <row r="49" spans="14:21" ht="12.75">
      <c r="N49" s="8">
        <f t="shared" si="13"/>
        <v>1999</v>
      </c>
      <c r="O49" s="60">
        <f t="shared" si="15"/>
        <v>9178.44004576659</v>
      </c>
      <c r="P49" s="60">
        <f t="shared" si="16"/>
        <v>13315.570978315684</v>
      </c>
      <c r="Q49" s="69">
        <f>Q27/Q$38</f>
        <v>14042</v>
      </c>
      <c r="R49" s="49">
        <f>IF(OR(R38=0,S38=""),"",S38/R38)</f>
      </c>
      <c r="S49" s="49">
        <f>IF(OR(S38=0,T38=""),"",T38/S38)</f>
      </c>
      <c r="T49" s="49">
        <f>IF(OR(T38=0,U38=""),"",U38/T38)</f>
      </c>
      <c r="U49" s="49"/>
    </row>
    <row r="50" spans="14:21" ht="12.75">
      <c r="N50" s="8">
        <f t="shared" si="13"/>
        <v>2000</v>
      </c>
      <c r="O50" s="60">
        <f t="shared" si="15"/>
        <v>10158.720366132722</v>
      </c>
      <c r="P50" s="60">
        <f t="shared" si="16"/>
        <v>14107</v>
      </c>
      <c r="Q50" s="70">
        <f>IF(OR(Q39=0,R39=""),"",R39/Q39)</f>
      </c>
      <c r="R50" s="49">
        <f>IF(OR(R39=0,S39=""),"",S39/R39)</f>
      </c>
      <c r="S50" s="49">
        <f>IF(OR(S39=0,T39=""),"",T39/S39)</f>
      </c>
      <c r="T50" s="49">
        <f>IF(OR(T39=0,U39=""),"",U39/T39)</f>
      </c>
      <c r="U50" s="49"/>
    </row>
    <row r="51" spans="14:21" ht="12.75">
      <c r="N51" s="8">
        <f t="shared" si="13"/>
        <v>2001</v>
      </c>
      <c r="O51" s="60">
        <f t="shared" si="15"/>
        <v>13181</v>
      </c>
      <c r="R51" s="42"/>
      <c r="S51" s="84" t="s">
        <v>131</v>
      </c>
      <c r="T51" s="85"/>
      <c r="U51" s="71"/>
    </row>
    <row r="56" spans="2:14" ht="12.75">
      <c r="B56" t="str">
        <f>title1</f>
        <v>Monstertruck Mutual</v>
      </c>
      <c r="N56" t="str">
        <f>title1</f>
        <v>Monstertruck Mutual</v>
      </c>
    </row>
    <row r="57" spans="2:14" ht="12.75">
      <c r="B57" t="str">
        <f>line</f>
        <v>Commercial Automobile Liability</v>
      </c>
      <c r="N57" t="str">
        <f>line</f>
        <v>Commercial Automobile Liability</v>
      </c>
    </row>
    <row r="58" spans="2:14" ht="12.75">
      <c r="B58" t="s">
        <v>86</v>
      </c>
      <c r="N58" t="s">
        <v>124</v>
      </c>
    </row>
    <row r="59" spans="2:15" ht="12.75">
      <c r="B59" s="4"/>
      <c r="C59" t="s">
        <v>163</v>
      </c>
      <c r="N59" s="4"/>
      <c r="O59" t="s">
        <v>164</v>
      </c>
    </row>
    <row r="61" spans="3:14" ht="12.75">
      <c r="C61" t="s">
        <v>122</v>
      </c>
      <c r="N61" s="107" t="s">
        <v>168</v>
      </c>
    </row>
    <row r="62" spans="2:14" ht="12.75">
      <c r="B62" s="57" t="s">
        <v>0</v>
      </c>
      <c r="N62" s="57" t="s">
        <v>0</v>
      </c>
    </row>
    <row r="63" spans="2:21" ht="12.75">
      <c r="B63" s="56" t="s">
        <v>1</v>
      </c>
      <c r="C63" s="56">
        <v>12</v>
      </c>
      <c r="D63" s="9">
        <f aca="true" t="shared" si="17" ref="D63:I63">C63+12</f>
        <v>24</v>
      </c>
      <c r="E63" s="9">
        <f t="shared" si="17"/>
        <v>36</v>
      </c>
      <c r="F63" s="9">
        <f t="shared" si="17"/>
        <v>48</v>
      </c>
      <c r="G63" s="9">
        <f t="shared" si="17"/>
        <v>60</v>
      </c>
      <c r="H63" s="9">
        <f t="shared" si="17"/>
        <v>72</v>
      </c>
      <c r="I63" s="9">
        <f t="shared" si="17"/>
        <v>84</v>
      </c>
      <c r="N63" s="56" t="s">
        <v>1</v>
      </c>
      <c r="O63" s="56">
        <v>12</v>
      </c>
      <c r="P63" s="9">
        <f aca="true" t="shared" si="18" ref="P63:U63">O63+12</f>
        <v>24</v>
      </c>
      <c r="Q63" s="9">
        <f t="shared" si="18"/>
        <v>36</v>
      </c>
      <c r="R63" s="9">
        <f t="shared" si="18"/>
        <v>48</v>
      </c>
      <c r="S63" s="9">
        <f t="shared" si="18"/>
        <v>60</v>
      </c>
      <c r="T63" s="9">
        <f t="shared" si="18"/>
        <v>72</v>
      </c>
      <c r="U63" s="9">
        <f t="shared" si="18"/>
        <v>84</v>
      </c>
    </row>
    <row r="64" spans="2:21" ht="12.75">
      <c r="B64" s="8">
        <f aca="true" t="shared" si="19" ref="B64:B69">B65-1</f>
        <v>1995</v>
      </c>
      <c r="C64" s="23">
        <f>C37+'Case Study II'!C62</f>
        <v>4132.553785746659</v>
      </c>
      <c r="D64" s="23">
        <f>D37+'Case Study II'!D62</f>
        <v>6052.396978194471</v>
      </c>
      <c r="E64" s="23">
        <f>E37+'Case Study II'!E62</f>
        <v>6508.768030659159</v>
      </c>
      <c r="F64" s="23">
        <f>F37+'Case Study II'!F62</f>
        <v>6994.636468621192</v>
      </c>
      <c r="G64" s="23">
        <f>G37+'Case Study II'!G62</f>
        <v>7260.832836548648</v>
      </c>
      <c r="H64" s="23">
        <f>H37+'Case Study II'!H62</f>
        <v>7444.4956080421625</v>
      </c>
      <c r="I64" s="23">
        <f>I37+'Case Study II'!I62</f>
        <v>7332</v>
      </c>
      <c r="N64" s="8">
        <f aca="true" t="shared" si="20" ref="N64:N69">N65-1</f>
        <v>1995</v>
      </c>
      <c r="O64" s="23">
        <f aca="true" t="shared" si="21" ref="O64:U64">O45</f>
        <v>5166.831350114417</v>
      </c>
      <c r="P64" s="23">
        <f t="shared" si="21"/>
        <v>6683.573625819466</v>
      </c>
      <c r="Q64" s="23">
        <f t="shared" si="21"/>
        <v>6753.514917837143</v>
      </c>
      <c r="R64" s="23">
        <f t="shared" si="21"/>
        <v>7152.460236886633</v>
      </c>
      <c r="S64" s="23">
        <f t="shared" si="21"/>
        <v>7309.223688625433</v>
      </c>
      <c r="T64" s="23">
        <f t="shared" si="21"/>
        <v>7500.576502067624</v>
      </c>
      <c r="U64" s="23">
        <f t="shared" si="21"/>
        <v>7332</v>
      </c>
    </row>
    <row r="65" spans="2:21" ht="12.75">
      <c r="B65" s="8">
        <f t="shared" si="19"/>
        <v>1996</v>
      </c>
      <c r="C65" s="23">
        <f>C38+'Case Study II'!C63</f>
        <v>5367.308485541386</v>
      </c>
      <c r="D65" s="23">
        <f>D38+'Case Study II'!D63</f>
        <v>7327.789143158769</v>
      </c>
      <c r="E65" s="23">
        <f>E38+'Case Study II'!E63</f>
        <v>7855.907718630541</v>
      </c>
      <c r="F65" s="23">
        <f>F38+'Case Study II'!F63</f>
        <v>8366.609312119193</v>
      </c>
      <c r="G65" s="23">
        <f>G38+'Case Study II'!G63</f>
        <v>8748.813350205632</v>
      </c>
      <c r="H65" s="23">
        <f>H38+'Case Study II'!H63</f>
        <v>9020</v>
      </c>
      <c r="I65" s="10"/>
      <c r="N65" s="8">
        <f t="shared" si="20"/>
        <v>1996</v>
      </c>
      <c r="O65" s="23">
        <f aca="true" t="shared" si="22" ref="O65:T65">O46</f>
        <v>6159.176659038902</v>
      </c>
      <c r="P65" s="23">
        <f t="shared" si="22"/>
        <v>7802.245209278871</v>
      </c>
      <c r="Q65" s="23">
        <f t="shared" si="22"/>
        <v>8064.514091618471</v>
      </c>
      <c r="R65" s="23">
        <f t="shared" si="22"/>
        <v>8534.802030456853</v>
      </c>
      <c r="S65" s="23">
        <f t="shared" si="22"/>
        <v>8738.78794318309</v>
      </c>
      <c r="T65" s="23">
        <f t="shared" si="22"/>
        <v>9020</v>
      </c>
      <c r="U65" s="10"/>
    </row>
    <row r="66" spans="2:21" ht="12.75">
      <c r="B66" s="8">
        <f t="shared" si="19"/>
        <v>1997</v>
      </c>
      <c r="C66" s="23">
        <f>C39+'Case Study II'!C64</f>
        <v>6332.824976318909</v>
      </c>
      <c r="D66" s="23">
        <f>D39+'Case Study II'!D64</f>
        <v>8804.414494168348</v>
      </c>
      <c r="E66" s="23">
        <f>E39+'Case Study II'!E64</f>
        <v>9064.512380497374</v>
      </c>
      <c r="F66" s="23">
        <f>F39+'Case Study II'!F64</f>
        <v>9523.04105115845</v>
      </c>
      <c r="G66" s="23">
        <f>G39+'Case Study II'!G64</f>
        <v>9817</v>
      </c>
      <c r="H66" s="10"/>
      <c r="I66" s="10"/>
      <c r="N66" s="8">
        <f t="shared" si="20"/>
        <v>1997</v>
      </c>
      <c r="O66" s="23">
        <f>O47</f>
        <v>6705.117391304348</v>
      </c>
      <c r="P66" s="23">
        <f>P47</f>
        <v>8773.301941502774</v>
      </c>
      <c r="Q66" s="23">
        <f>Q47</f>
        <v>8946.248049205913</v>
      </c>
      <c r="R66" s="23">
        <f>R47</f>
        <v>9570.14551607445</v>
      </c>
      <c r="S66" s="23">
        <f>S47</f>
        <v>9817</v>
      </c>
      <c r="T66" s="10"/>
      <c r="U66" s="10"/>
    </row>
    <row r="67" spans="2:21" ht="12.75">
      <c r="B67" s="8">
        <f t="shared" si="19"/>
        <v>1998</v>
      </c>
      <c r="C67" s="23">
        <f>C40+'Case Study II'!C65</f>
        <v>7613.6470189009515</v>
      </c>
      <c r="D67" s="23">
        <f>D40+'Case Study II'!D65</f>
        <v>10583.233494412387</v>
      </c>
      <c r="E67" s="23">
        <f>E40+'Case Study II'!E65</f>
        <v>11374.069945145759</v>
      </c>
      <c r="F67" s="23">
        <f>F40+'Case Study II'!F65</f>
        <v>12024</v>
      </c>
      <c r="G67" s="10"/>
      <c r="H67" s="10"/>
      <c r="I67" s="10"/>
      <c r="N67" s="8">
        <f t="shared" si="20"/>
        <v>1998</v>
      </c>
      <c r="O67" s="23">
        <f>O48</f>
        <v>7809.063844393592</v>
      </c>
      <c r="P67" s="23">
        <f>P48</f>
        <v>10749.206757438225</v>
      </c>
      <c r="Q67" s="23">
        <f>Q48</f>
        <v>11258.866060772974</v>
      </c>
      <c r="R67" s="23">
        <f>R48</f>
        <v>12024</v>
      </c>
      <c r="S67" s="10"/>
      <c r="T67" s="10"/>
      <c r="U67" s="10"/>
    </row>
    <row r="68" spans="2:21" ht="12.75">
      <c r="B68" s="8">
        <f t="shared" si="19"/>
        <v>1999</v>
      </c>
      <c r="C68" s="23">
        <f>C41+'Case Study II'!C66</f>
        <v>9279.813060494187</v>
      </c>
      <c r="D68" s="23">
        <f>D41+'Case Study II'!D66</f>
        <v>13088.839987699244</v>
      </c>
      <c r="E68" s="23">
        <f>E41+'Case Study II'!E66</f>
        <v>14042</v>
      </c>
      <c r="F68" s="10"/>
      <c r="G68" s="10"/>
      <c r="H68" s="10"/>
      <c r="I68" s="10"/>
      <c r="N68" s="8">
        <f t="shared" si="20"/>
        <v>1999</v>
      </c>
      <c r="O68" s="23">
        <f>O49</f>
        <v>9178.44004576659</v>
      </c>
      <c r="P68" s="23">
        <f>P49</f>
        <v>13315.570978315684</v>
      </c>
      <c r="Q68" s="23">
        <f>Q49</f>
        <v>14042</v>
      </c>
      <c r="R68" s="10"/>
      <c r="S68" s="10"/>
      <c r="T68" s="10"/>
      <c r="U68" s="10"/>
    </row>
    <row r="69" spans="2:21" ht="12.75">
      <c r="B69" s="8">
        <f t="shared" si="19"/>
        <v>2000</v>
      </c>
      <c r="C69" s="23">
        <f>C42+'Case Study II'!C67</f>
        <v>10061.393198690308</v>
      </c>
      <c r="D69" s="23">
        <f>D42+'Case Study II'!D67</f>
        <v>14107</v>
      </c>
      <c r="E69" s="10"/>
      <c r="F69" s="10"/>
      <c r="G69" s="10"/>
      <c r="H69" s="10"/>
      <c r="I69" s="10"/>
      <c r="N69" s="8">
        <f t="shared" si="20"/>
        <v>2000</v>
      </c>
      <c r="O69" s="23">
        <f>O50</f>
        <v>10158.720366132722</v>
      </c>
      <c r="P69" s="23">
        <f>P50</f>
        <v>14107</v>
      </c>
      <c r="Q69" s="10"/>
      <c r="R69" s="10"/>
      <c r="S69" s="10"/>
      <c r="T69" s="10"/>
      <c r="U69" s="10"/>
    </row>
    <row r="70" spans="2:21" ht="12.75">
      <c r="B70" s="57">
        <f>B18</f>
        <v>2001</v>
      </c>
      <c r="C70" s="23">
        <f>C43+'Case Study II'!C68</f>
        <v>13180.999999999998</v>
      </c>
      <c r="D70" s="10"/>
      <c r="E70" s="10"/>
      <c r="F70" s="10"/>
      <c r="G70" s="10"/>
      <c r="H70" s="10"/>
      <c r="I70" s="10"/>
      <c r="N70" s="57">
        <f>B18</f>
        <v>2001</v>
      </c>
      <c r="O70" s="23">
        <f>O51</f>
        <v>13181</v>
      </c>
      <c r="P70" s="10"/>
      <c r="Q70" s="10"/>
      <c r="R70" s="10"/>
      <c r="S70" s="10"/>
      <c r="T70" s="10"/>
      <c r="U70" s="10"/>
    </row>
    <row r="73" spans="3:15" ht="12.75">
      <c r="C73" s="22" t="s">
        <v>123</v>
      </c>
      <c r="O73" s="22" t="s">
        <v>123</v>
      </c>
    </row>
    <row r="74" spans="2:14" ht="12.75">
      <c r="B74" s="8" t="str">
        <f aca="true" t="shared" si="23" ref="B74:B81">B62</f>
        <v>Accident</v>
      </c>
      <c r="N74" s="8" t="str">
        <f aca="true" t="shared" si="24" ref="N74:N81">N62</f>
        <v>Accident</v>
      </c>
    </row>
    <row r="75" spans="2:21" ht="12.75">
      <c r="B75" s="9" t="str">
        <f t="shared" si="23"/>
        <v>Year</v>
      </c>
      <c r="C75" s="9" t="str">
        <f aca="true" t="shared" si="25" ref="C75:H75">C63&amp;" - "&amp;D63</f>
        <v>12 - 24</v>
      </c>
      <c r="D75" s="9" t="str">
        <f t="shared" si="25"/>
        <v>24 - 36</v>
      </c>
      <c r="E75" s="9" t="str">
        <f t="shared" si="25"/>
        <v>36 - 48</v>
      </c>
      <c r="F75" s="9" t="str">
        <f t="shared" si="25"/>
        <v>48 - 60</v>
      </c>
      <c r="G75" s="9" t="str">
        <f t="shared" si="25"/>
        <v>60 - 72</v>
      </c>
      <c r="H75" s="9" t="str">
        <f t="shared" si="25"/>
        <v>72 - 84</v>
      </c>
      <c r="I75" s="9" t="str">
        <f>I63&amp;" - ULT"</f>
        <v>84 - ULT</v>
      </c>
      <c r="N75" s="9" t="str">
        <f t="shared" si="24"/>
        <v>Year</v>
      </c>
      <c r="O75" s="9" t="str">
        <f aca="true" t="shared" si="26" ref="O75:T75">O63&amp;" - "&amp;P63</f>
        <v>12 - 24</v>
      </c>
      <c r="P75" s="9" t="str">
        <f t="shared" si="26"/>
        <v>24 - 36</v>
      </c>
      <c r="Q75" s="9" t="str">
        <f t="shared" si="26"/>
        <v>36 - 48</v>
      </c>
      <c r="R75" s="9" t="str">
        <f t="shared" si="26"/>
        <v>48 - 60</v>
      </c>
      <c r="S75" s="9" t="str">
        <f t="shared" si="26"/>
        <v>60 - 72</v>
      </c>
      <c r="T75" s="9" t="str">
        <f t="shared" si="26"/>
        <v>72 - 84</v>
      </c>
      <c r="U75" s="9" t="str">
        <f>U63&amp;" - ULT"</f>
        <v>84 - ULT</v>
      </c>
    </row>
    <row r="76" spans="2:21" ht="12.75">
      <c r="B76" s="8">
        <f t="shared" si="23"/>
        <v>1995</v>
      </c>
      <c r="C76" s="48">
        <f aca="true" t="shared" si="27" ref="C76:H81">IF(OR(C64=0,D64=""),"",D64/C64)</f>
        <v>1.4645658089362144</v>
      </c>
      <c r="D76" s="48">
        <f t="shared" si="27"/>
        <v>1.0754033573985478</v>
      </c>
      <c r="E76" s="48">
        <f t="shared" si="27"/>
        <v>1.0746482952954197</v>
      </c>
      <c r="F76" s="48">
        <f t="shared" si="27"/>
        <v>1.0380572127117178</v>
      </c>
      <c r="G76" s="48">
        <f t="shared" si="27"/>
        <v>1.025295000673892</v>
      </c>
      <c r="H76" s="48">
        <f t="shared" si="27"/>
        <v>0.9848887535213755</v>
      </c>
      <c r="I76" s="48"/>
      <c r="N76" s="8">
        <f t="shared" si="24"/>
        <v>1995</v>
      </c>
      <c r="O76" s="48">
        <f aca="true" t="shared" si="28" ref="O76:T81">IF(OR(O64=0,P64=""),"",P64/O64)</f>
        <v>1.2935536643113892</v>
      </c>
      <c r="P76" s="48">
        <f t="shared" si="28"/>
        <v>1.0104646549785112</v>
      </c>
      <c r="Q76" s="48">
        <f t="shared" si="28"/>
        <v>1.0590722496215725</v>
      </c>
      <c r="R76" s="48">
        <f t="shared" si="28"/>
        <v>1.0219174167414928</v>
      </c>
      <c r="S76" s="48">
        <f t="shared" si="28"/>
        <v>1.0261796357033062</v>
      </c>
      <c r="T76" s="48">
        <f t="shared" si="28"/>
        <v>0.9775248606528907</v>
      </c>
      <c r="U76" s="48"/>
    </row>
    <row r="77" spans="2:21" ht="12.75">
      <c r="B77" s="8">
        <f t="shared" si="23"/>
        <v>1996</v>
      </c>
      <c r="C77" s="49">
        <f t="shared" si="27"/>
        <v>1.3652632716935467</v>
      </c>
      <c r="D77" s="49">
        <f t="shared" si="27"/>
        <v>1.0720706566679563</v>
      </c>
      <c r="E77" s="49">
        <f t="shared" si="27"/>
        <v>1.0650086039424198</v>
      </c>
      <c r="F77" s="49">
        <f t="shared" si="27"/>
        <v>1.0456820706965255</v>
      </c>
      <c r="G77" s="49">
        <f t="shared" si="27"/>
        <v>1.0309969636954244</v>
      </c>
      <c r="H77" s="49">
        <f t="shared" si="27"/>
      </c>
      <c r="I77" s="49"/>
      <c r="N77" s="8">
        <f t="shared" si="24"/>
        <v>1996</v>
      </c>
      <c r="O77" s="49">
        <f t="shared" si="28"/>
        <v>1.2667675634581261</v>
      </c>
      <c r="P77" s="49">
        <f t="shared" si="28"/>
        <v>1.0336145398285734</v>
      </c>
      <c r="Q77" s="49">
        <f t="shared" si="28"/>
        <v>1.0583157191488024</v>
      </c>
      <c r="R77" s="49">
        <f t="shared" si="28"/>
        <v>1.0239004855646685</v>
      </c>
      <c r="S77" s="49">
        <f t="shared" si="28"/>
        <v>1.0321797552069307</v>
      </c>
      <c r="T77" s="49">
        <f t="shared" si="28"/>
      </c>
      <c r="U77" s="49"/>
    </row>
    <row r="78" spans="2:21" ht="12.75">
      <c r="B78" s="8">
        <f t="shared" si="23"/>
        <v>1997</v>
      </c>
      <c r="C78" s="49">
        <f t="shared" si="27"/>
        <v>1.3902823032519847</v>
      </c>
      <c r="D78" s="49">
        <f t="shared" si="27"/>
        <v>1.0295417584555229</v>
      </c>
      <c r="E78" s="49">
        <f t="shared" si="27"/>
        <v>1.0505850344082068</v>
      </c>
      <c r="F78" s="49">
        <f t="shared" si="27"/>
        <v>1.030868180370365</v>
      </c>
      <c r="G78" s="49">
        <f t="shared" si="27"/>
      </c>
      <c r="H78" s="49">
        <f t="shared" si="27"/>
      </c>
      <c r="I78" s="49"/>
      <c r="N78" s="8">
        <f t="shared" si="24"/>
        <v>1997</v>
      </c>
      <c r="O78" s="49">
        <f t="shared" si="28"/>
        <v>1.3084486712910632</v>
      </c>
      <c r="P78" s="49">
        <f t="shared" si="28"/>
        <v>1.0197127727799957</v>
      </c>
      <c r="Q78" s="49">
        <f t="shared" si="28"/>
        <v>1.0697384493965507</v>
      </c>
      <c r="R78" s="49">
        <f t="shared" si="28"/>
        <v>1.0257942247075473</v>
      </c>
      <c r="S78" s="49">
        <f t="shared" si="28"/>
      </c>
      <c r="T78" s="49">
        <f t="shared" si="28"/>
      </c>
      <c r="U78" s="49"/>
    </row>
    <row r="79" spans="2:21" ht="12.75">
      <c r="B79" s="8">
        <f t="shared" si="23"/>
        <v>1998</v>
      </c>
      <c r="C79" s="49">
        <f t="shared" si="27"/>
        <v>1.390034692722083</v>
      </c>
      <c r="D79" s="49">
        <f t="shared" si="27"/>
        <v>1.0747254089358331</v>
      </c>
      <c r="E79" s="49">
        <f t="shared" si="27"/>
        <v>1.0571413801733847</v>
      </c>
      <c r="F79" s="49">
        <f t="shared" si="27"/>
      </c>
      <c r="G79" s="49">
        <f t="shared" si="27"/>
      </c>
      <c r="H79" s="49">
        <f t="shared" si="27"/>
      </c>
      <c r="I79" s="49"/>
      <c r="N79" s="8">
        <f t="shared" si="24"/>
        <v>1998</v>
      </c>
      <c r="O79" s="49">
        <f t="shared" si="28"/>
        <v>1.376503889791536</v>
      </c>
      <c r="P79" s="49">
        <f t="shared" si="28"/>
        <v>1.0474136664067863</v>
      </c>
      <c r="Q79" s="49">
        <f t="shared" si="28"/>
        <v>1.0679583481228923</v>
      </c>
      <c r="R79" s="49">
        <f t="shared" si="28"/>
      </c>
      <c r="S79" s="49">
        <f t="shared" si="28"/>
      </c>
      <c r="T79" s="49">
        <f t="shared" si="28"/>
      </c>
      <c r="U79" s="49"/>
    </row>
    <row r="80" spans="2:21" ht="12.75">
      <c r="B80" s="8">
        <f t="shared" si="23"/>
        <v>1999</v>
      </c>
      <c r="C80" s="49">
        <f t="shared" si="27"/>
        <v>1.4104637563681925</v>
      </c>
      <c r="D80" s="49">
        <f t="shared" si="27"/>
        <v>1.0728223443174891</v>
      </c>
      <c r="E80" s="49">
        <f t="shared" si="27"/>
      </c>
      <c r="F80" s="49">
        <f t="shared" si="27"/>
      </c>
      <c r="G80" s="49">
        <f t="shared" si="27"/>
      </c>
      <c r="H80" s="49">
        <f t="shared" si="27"/>
      </c>
      <c r="I80" s="49"/>
      <c r="N80" s="8">
        <f t="shared" si="24"/>
        <v>1999</v>
      </c>
      <c r="O80" s="49">
        <f t="shared" si="28"/>
        <v>1.4507444524254727</v>
      </c>
      <c r="P80" s="49">
        <f t="shared" si="28"/>
        <v>1.0545548533267781</v>
      </c>
      <c r="Q80" s="49">
        <f t="shared" si="28"/>
      </c>
      <c r="R80" s="49">
        <f t="shared" si="28"/>
      </c>
      <c r="S80" s="49">
        <f t="shared" si="28"/>
      </c>
      <c r="T80" s="49">
        <f t="shared" si="28"/>
      </c>
      <c r="U80" s="49"/>
    </row>
    <row r="81" spans="2:21" ht="12.75">
      <c r="B81" s="8">
        <f t="shared" si="23"/>
        <v>2000</v>
      </c>
      <c r="C81" s="49">
        <f t="shared" si="27"/>
        <v>1.402092108062759</v>
      </c>
      <c r="D81" s="49">
        <f t="shared" si="27"/>
      </c>
      <c r="E81" s="49">
        <f t="shared" si="27"/>
      </c>
      <c r="F81" s="49">
        <f t="shared" si="27"/>
      </c>
      <c r="G81" s="49">
        <f t="shared" si="27"/>
      </c>
      <c r="H81" s="49">
        <f t="shared" si="27"/>
      </c>
      <c r="I81" s="49"/>
      <c r="N81" s="8">
        <f t="shared" si="24"/>
        <v>2000</v>
      </c>
      <c r="O81" s="49">
        <f t="shared" si="28"/>
        <v>1.388659151110223</v>
      </c>
      <c r="P81" s="49">
        <f t="shared" si="28"/>
      </c>
      <c r="Q81" s="49">
        <f t="shared" si="28"/>
      </c>
      <c r="R81" s="49">
        <f t="shared" si="28"/>
      </c>
      <c r="S81" s="49">
        <f t="shared" si="28"/>
      </c>
      <c r="T81" s="49">
        <f t="shared" si="28"/>
      </c>
      <c r="U81" s="49"/>
    </row>
    <row r="82" spans="2:14" ht="12.75">
      <c r="B82" s="8"/>
      <c r="N82" s="8"/>
    </row>
    <row r="83" spans="2:20" ht="12.75">
      <c r="B83" s="21" t="s">
        <v>15</v>
      </c>
      <c r="C83" s="14">
        <f aca="true" t="shared" si="29" ref="C83:H83">AVERAGE(C76:C81)</f>
        <v>1.4037836568391298</v>
      </c>
      <c r="D83" s="14">
        <f t="shared" si="29"/>
        <v>1.06491270515507</v>
      </c>
      <c r="E83" s="14">
        <f t="shared" si="29"/>
        <v>1.0618458284548578</v>
      </c>
      <c r="F83" s="14">
        <f t="shared" si="29"/>
        <v>1.0382024879262026</v>
      </c>
      <c r="G83" s="14">
        <f t="shared" si="29"/>
        <v>1.0281459821846581</v>
      </c>
      <c r="H83" s="14">
        <f t="shared" si="29"/>
        <v>0.9848887535213755</v>
      </c>
      <c r="N83" s="21" t="s">
        <v>15</v>
      </c>
      <c r="O83" s="14">
        <f aca="true" t="shared" si="30" ref="O83:T83">AVERAGE(O76:O81)</f>
        <v>1.347446232064635</v>
      </c>
      <c r="P83" s="14">
        <f t="shared" si="30"/>
        <v>1.033152097464129</v>
      </c>
      <c r="Q83" s="14">
        <f t="shared" si="30"/>
        <v>1.0637711915724544</v>
      </c>
      <c r="R83" s="14">
        <f t="shared" si="30"/>
        <v>1.0238707090045696</v>
      </c>
      <c r="S83" s="14">
        <f t="shared" si="30"/>
        <v>1.0291796954551184</v>
      </c>
      <c r="T83" s="14">
        <f t="shared" si="30"/>
        <v>0.9775248606528907</v>
      </c>
    </row>
    <row r="84" spans="2:18" ht="12.75">
      <c r="B84" s="21" t="s">
        <v>16</v>
      </c>
      <c r="C84" s="14">
        <f>AVERAGE(C79:C81)</f>
        <v>1.4008635190510115</v>
      </c>
      <c r="D84" s="14">
        <f>AVERAGE(D78:D80)</f>
        <v>1.0590298372362816</v>
      </c>
      <c r="E84" s="14">
        <f>AVERAGE(E77:E79)</f>
        <v>1.0575783395080036</v>
      </c>
      <c r="F84" s="14">
        <f>AVERAGE(F76:F78)</f>
        <v>1.0382024879262026</v>
      </c>
      <c r="N84" s="21" t="s">
        <v>16</v>
      </c>
      <c r="O84" s="14">
        <f>AVERAGE(O79:O81)</f>
        <v>1.4053024977757438</v>
      </c>
      <c r="P84" s="14">
        <f>AVERAGE(P78:P80)</f>
        <v>1.0405604308378533</v>
      </c>
      <c r="Q84" s="14">
        <f>AVERAGE(Q77:Q79)</f>
        <v>1.0653375055560819</v>
      </c>
      <c r="R84" s="14">
        <f>AVERAGE(R76:R78)</f>
        <v>1.0238707090045696</v>
      </c>
    </row>
    <row r="85" spans="2:18" ht="12.75">
      <c r="B85" s="21" t="s">
        <v>17</v>
      </c>
      <c r="C85" s="14">
        <f>(SUM(C76:C81)-MIN(C76:C81)-MAX(C76:C81))/(COUNT(C76:C81)-2)</f>
        <v>1.3982182151012545</v>
      </c>
      <c r="D85" s="14">
        <f>(SUM(D76:D81)-MIN(D76:D81)-MAX(D76:D81))/(COUNT(D76:D81)-2)</f>
        <v>1.0732061366404266</v>
      </c>
      <c r="E85" s="14">
        <f>(SUM(E76:E81)-MIN(E76:E81)-MAX(E76:E81))/(COUNT(E76:E81)-2)</f>
        <v>1.0610749920579021</v>
      </c>
      <c r="F85" s="14">
        <f>(SUM(F76:F81)-MIN(F76:F81)-MAX(F76:F81))/(COUNT(F76:F81)-2)</f>
        <v>1.0380572127117176</v>
      </c>
      <c r="N85" s="21" t="s">
        <v>17</v>
      </c>
      <c r="O85" s="14">
        <f>(SUM(O76:O81)-MIN(O76:O81)-MAX(O76:O81))/(COUNT(O76:O81)-2)</f>
        <v>1.341791344126053</v>
      </c>
      <c r="P85" s="14">
        <f>(SUM(P76:P81)-MIN(P76:P81)-MAX(P76:P81))/(COUNT(P76:P81)-2)</f>
        <v>1.0335803263384518</v>
      </c>
      <c r="Q85" s="14">
        <f>(SUM(Q76:Q81)-MIN(Q76:Q81)-MAX(Q76:Q81))/(COUNT(Q76:Q81)-2)</f>
        <v>1.0635152988722323</v>
      </c>
      <c r="R85" s="14">
        <f>(SUM(R76:R81)-MIN(R76:R81)-MAX(R76:R81))/(COUNT(R76:R81)-2)</f>
        <v>1.0239004855646685</v>
      </c>
    </row>
    <row r="86" spans="2:21" ht="12.75">
      <c r="B86" s="21" t="s">
        <v>18</v>
      </c>
      <c r="C86" s="55">
        <v>1.398</v>
      </c>
      <c r="D86" s="55">
        <v>1.141</v>
      </c>
      <c r="E86" s="55">
        <v>1.063</v>
      </c>
      <c r="F86" s="55">
        <v>1.032</v>
      </c>
      <c r="G86" s="55">
        <v>1.016</v>
      </c>
      <c r="H86" s="55">
        <v>1.001</v>
      </c>
      <c r="I86" s="55">
        <v>1.013</v>
      </c>
      <c r="N86" s="21" t="s">
        <v>18</v>
      </c>
      <c r="O86" s="55">
        <v>1.398</v>
      </c>
      <c r="P86" s="55">
        <v>1.141</v>
      </c>
      <c r="Q86" s="55">
        <v>1.063</v>
      </c>
      <c r="R86" s="55">
        <v>1.032</v>
      </c>
      <c r="S86" s="55">
        <v>1.016</v>
      </c>
      <c r="T86" s="55">
        <v>1.001</v>
      </c>
      <c r="U86" s="55">
        <v>1.013</v>
      </c>
    </row>
    <row r="87" spans="2:14" ht="12.75">
      <c r="B87" s="22"/>
      <c r="N87" s="22"/>
    </row>
    <row r="88" spans="2:21" ht="12.75">
      <c r="B88" s="21" t="s">
        <v>19</v>
      </c>
      <c r="C88" s="55">
        <v>1.401</v>
      </c>
      <c r="D88" s="55">
        <v>1.059</v>
      </c>
      <c r="E88" s="55">
        <v>1.058</v>
      </c>
      <c r="F88" s="55">
        <v>1.038</v>
      </c>
      <c r="G88" s="55">
        <v>1.028</v>
      </c>
      <c r="H88" s="55">
        <v>1</v>
      </c>
      <c r="I88" s="75">
        <v>1.013</v>
      </c>
      <c r="N88" s="21" t="s">
        <v>19</v>
      </c>
      <c r="O88" s="55">
        <v>1.405</v>
      </c>
      <c r="P88" s="55">
        <v>1.041</v>
      </c>
      <c r="Q88" s="55">
        <v>1.065</v>
      </c>
      <c r="R88" s="55">
        <v>1.024</v>
      </c>
      <c r="S88" s="55">
        <v>1.029</v>
      </c>
      <c r="T88" s="55">
        <v>1</v>
      </c>
      <c r="U88" s="75">
        <v>1.013</v>
      </c>
    </row>
    <row r="89" spans="2:21" ht="12.75">
      <c r="B89" s="21" t="s">
        <v>20</v>
      </c>
      <c r="C89" s="47">
        <f>C88*D89</f>
        <v>1.6967571057523065</v>
      </c>
      <c r="D89" s="47">
        <f>D88*E89</f>
        <v>1.211104286761104</v>
      </c>
      <c r="E89" s="47">
        <f>E88*F89</f>
        <v>1.143630110256</v>
      </c>
      <c r="F89" s="47">
        <f>F88*G89</f>
        <v>1.080935832</v>
      </c>
      <c r="G89" s="47">
        <f>G88*H89</f>
        <v>1.041364</v>
      </c>
      <c r="H89" s="47">
        <f>H88*I86</f>
        <v>1.013</v>
      </c>
      <c r="I89" s="62">
        <f>I88</f>
        <v>1.013</v>
      </c>
      <c r="N89" s="21" t="s">
        <v>20</v>
      </c>
      <c r="O89" s="47">
        <f>O88*P89</f>
        <v>1.6626523032274172</v>
      </c>
      <c r="P89" s="47">
        <f>P88*Q89</f>
        <v>1.1833824222259197</v>
      </c>
      <c r="Q89" s="47">
        <f>Q88*R89</f>
        <v>1.1367746611199998</v>
      </c>
      <c r="R89" s="47">
        <f>R88*S89</f>
        <v>1.067394048</v>
      </c>
      <c r="S89" s="47">
        <f>S88*T89</f>
        <v>1.0423769999999999</v>
      </c>
      <c r="T89" s="47">
        <f>T88*U86</f>
        <v>1.013</v>
      </c>
      <c r="U89" s="62">
        <f>U88</f>
        <v>1.013</v>
      </c>
    </row>
    <row r="92" spans="3:17" ht="12.75">
      <c r="C92" s="57" t="s">
        <v>87</v>
      </c>
      <c r="D92" s="57"/>
      <c r="E92" s="57" t="s">
        <v>28</v>
      </c>
      <c r="O92" s="57" t="s">
        <v>87</v>
      </c>
      <c r="P92" s="57"/>
      <c r="Q92" s="57" t="s">
        <v>28</v>
      </c>
    </row>
    <row r="93" spans="2:17" ht="12.75">
      <c r="B93" s="8" t="str">
        <f>B74</f>
        <v>Accident</v>
      </c>
      <c r="C93" s="57" t="s">
        <v>67</v>
      </c>
      <c r="D93" s="57" t="s">
        <v>26</v>
      </c>
      <c r="E93" s="57" t="s">
        <v>29</v>
      </c>
      <c r="N93" s="8" t="str">
        <f>N74</f>
        <v>Accident</v>
      </c>
      <c r="O93" s="57" t="s">
        <v>67</v>
      </c>
      <c r="P93" s="57" t="s">
        <v>26</v>
      </c>
      <c r="Q93" s="57" t="s">
        <v>29</v>
      </c>
    </row>
    <row r="94" spans="2:17" ht="12.75">
      <c r="B94" s="9" t="str">
        <f>B75</f>
        <v>Year</v>
      </c>
      <c r="C94" s="56" t="str">
        <f>"at "&amp;TEXT(curreval,"m/d/yy")</f>
        <v>at 12/31/01</v>
      </c>
      <c r="D94" s="56" t="s">
        <v>27</v>
      </c>
      <c r="E94" s="56" t="s">
        <v>25</v>
      </c>
      <c r="N94" s="9" t="str">
        <f>N75</f>
        <v>Year</v>
      </c>
      <c r="O94" s="56" t="str">
        <f>"at "&amp;TEXT(curreval,"m/d/yy")</f>
        <v>at 12/31/01</v>
      </c>
      <c r="P94" s="56" t="s">
        <v>27</v>
      </c>
      <c r="Q94" s="56" t="s">
        <v>25</v>
      </c>
    </row>
    <row r="95" spans="2:17" ht="12.75">
      <c r="B95" s="8">
        <f aca="true" t="shared" si="31" ref="B95:B100">B96-1</f>
        <v>1995</v>
      </c>
      <c r="C95" s="3">
        <f aca="true" ca="1" t="shared" si="32" ref="C95:C101">OFFSET(C$70,-A96,A96)</f>
        <v>7332</v>
      </c>
      <c r="D95" s="47">
        <f aca="true" ca="1" t="shared" si="33" ref="D95:D101">OFFSET(C$89,0,A96)</f>
        <v>1.013</v>
      </c>
      <c r="E95" s="3">
        <f aca="true" t="shared" si="34" ref="E95:E101">D95*C95</f>
        <v>7427.315999999999</v>
      </c>
      <c r="N95" s="8">
        <f aca="true" t="shared" si="35" ref="N95:N100">N96-1</f>
        <v>1995</v>
      </c>
      <c r="O95" s="3">
        <f aca="true" ca="1" t="shared" si="36" ref="O95:O101">OFFSET(O$70,-M96,M96)</f>
        <v>7332</v>
      </c>
      <c r="P95" s="47">
        <f aca="true" ca="1" t="shared" si="37" ref="P95:P101">OFFSET(O$89,0,M96)</f>
        <v>1.013</v>
      </c>
      <c r="Q95" s="3">
        <f aca="true" t="shared" si="38" ref="Q95:Q101">P95*O95</f>
        <v>7427.315999999999</v>
      </c>
    </row>
    <row r="96" spans="1:17" ht="12.75">
      <c r="A96" s="51">
        <f aca="true" t="shared" si="39" ref="A96:A101">A97+1</f>
        <v>6</v>
      </c>
      <c r="B96" s="8">
        <f t="shared" si="31"/>
        <v>1996</v>
      </c>
      <c r="C96" s="3">
        <f ca="1" t="shared" si="32"/>
        <v>9020</v>
      </c>
      <c r="D96" s="47">
        <f ca="1" t="shared" si="33"/>
        <v>1.013</v>
      </c>
      <c r="E96" s="3">
        <f t="shared" si="34"/>
        <v>9137.259999999998</v>
      </c>
      <c r="M96" s="51">
        <f aca="true" t="shared" si="40" ref="M96:M101">M97+1</f>
        <v>6</v>
      </c>
      <c r="N96" s="8">
        <f t="shared" si="35"/>
        <v>1996</v>
      </c>
      <c r="O96" s="3">
        <f ca="1" t="shared" si="36"/>
        <v>9020</v>
      </c>
      <c r="P96" s="47">
        <f ca="1" t="shared" si="37"/>
        <v>1.013</v>
      </c>
      <c r="Q96" s="3">
        <f t="shared" si="38"/>
        <v>9137.259999999998</v>
      </c>
    </row>
    <row r="97" spans="1:17" ht="12.75">
      <c r="A97" s="51">
        <f t="shared" si="39"/>
        <v>5</v>
      </c>
      <c r="B97" s="8">
        <f t="shared" si="31"/>
        <v>1997</v>
      </c>
      <c r="C97" s="3">
        <f ca="1" t="shared" si="32"/>
        <v>9817</v>
      </c>
      <c r="D97" s="47">
        <f ca="1" t="shared" si="33"/>
        <v>1.041364</v>
      </c>
      <c r="E97" s="3">
        <f t="shared" si="34"/>
        <v>10223.070388</v>
      </c>
      <c r="M97" s="51">
        <f t="shared" si="40"/>
        <v>5</v>
      </c>
      <c r="N97" s="8">
        <f t="shared" si="35"/>
        <v>1997</v>
      </c>
      <c r="O97" s="3">
        <f ca="1" t="shared" si="36"/>
        <v>9817</v>
      </c>
      <c r="P97" s="47">
        <f ca="1" t="shared" si="37"/>
        <v>1.0423769999999999</v>
      </c>
      <c r="Q97" s="3">
        <f t="shared" si="38"/>
        <v>10233.015008999999</v>
      </c>
    </row>
    <row r="98" spans="1:17" ht="12.75">
      <c r="A98" s="51">
        <f t="shared" si="39"/>
        <v>4</v>
      </c>
      <c r="B98" s="8">
        <f t="shared" si="31"/>
        <v>1998</v>
      </c>
      <c r="C98" s="3">
        <f ca="1" t="shared" si="32"/>
        <v>12024</v>
      </c>
      <c r="D98" s="47">
        <f ca="1" t="shared" si="33"/>
        <v>1.080935832</v>
      </c>
      <c r="E98" s="3">
        <f t="shared" si="34"/>
        <v>12997.172443968</v>
      </c>
      <c r="M98" s="51">
        <f t="shared" si="40"/>
        <v>4</v>
      </c>
      <c r="N98" s="8">
        <f t="shared" si="35"/>
        <v>1998</v>
      </c>
      <c r="O98" s="3">
        <f ca="1" t="shared" si="36"/>
        <v>12024</v>
      </c>
      <c r="P98" s="47">
        <f ca="1" t="shared" si="37"/>
        <v>1.067394048</v>
      </c>
      <c r="Q98" s="3">
        <f t="shared" si="38"/>
        <v>12834.346033152</v>
      </c>
    </row>
    <row r="99" spans="1:17" ht="12.75">
      <c r="A99" s="51">
        <f t="shared" si="39"/>
        <v>3</v>
      </c>
      <c r="B99" s="8">
        <f t="shared" si="31"/>
        <v>1999</v>
      </c>
      <c r="C99" s="3">
        <f ca="1" t="shared" si="32"/>
        <v>14042</v>
      </c>
      <c r="D99" s="47">
        <f ca="1" t="shared" si="33"/>
        <v>1.143630110256</v>
      </c>
      <c r="E99" s="3">
        <f t="shared" si="34"/>
        <v>16058.854008214752</v>
      </c>
      <c r="M99" s="51">
        <f t="shared" si="40"/>
        <v>3</v>
      </c>
      <c r="N99" s="8">
        <f t="shared" si="35"/>
        <v>1999</v>
      </c>
      <c r="O99" s="3">
        <f ca="1" t="shared" si="36"/>
        <v>14042</v>
      </c>
      <c r="P99" s="47">
        <f ca="1" t="shared" si="37"/>
        <v>1.1367746611199998</v>
      </c>
      <c r="Q99" s="3">
        <f t="shared" si="38"/>
        <v>15962.589791447037</v>
      </c>
    </row>
    <row r="100" spans="1:17" ht="12.75">
      <c r="A100" s="51">
        <f t="shared" si="39"/>
        <v>2</v>
      </c>
      <c r="B100" s="8">
        <f t="shared" si="31"/>
        <v>2000</v>
      </c>
      <c r="C100" s="3">
        <f ca="1" t="shared" si="32"/>
        <v>14107</v>
      </c>
      <c r="D100" s="47">
        <f ca="1" t="shared" si="33"/>
        <v>1.211104286761104</v>
      </c>
      <c r="E100" s="3">
        <f t="shared" si="34"/>
        <v>17085.04817333889</v>
      </c>
      <c r="M100" s="51">
        <f t="shared" si="40"/>
        <v>2</v>
      </c>
      <c r="N100" s="8">
        <f t="shared" si="35"/>
        <v>2000</v>
      </c>
      <c r="O100" s="3">
        <f ca="1" t="shared" si="36"/>
        <v>14107</v>
      </c>
      <c r="P100" s="47">
        <f ca="1" t="shared" si="37"/>
        <v>1.1833824222259197</v>
      </c>
      <c r="Q100" s="3">
        <f t="shared" si="38"/>
        <v>16693.97583034105</v>
      </c>
    </row>
    <row r="101" spans="1:17" ht="12.75">
      <c r="A101" s="51">
        <f t="shared" si="39"/>
        <v>1</v>
      </c>
      <c r="B101" s="8">
        <f>B18</f>
        <v>2001</v>
      </c>
      <c r="C101" s="3">
        <f ca="1" t="shared" si="32"/>
        <v>13180.999999999998</v>
      </c>
      <c r="D101" s="47">
        <f ca="1" t="shared" si="33"/>
        <v>1.6967571057523065</v>
      </c>
      <c r="E101" s="3">
        <f t="shared" si="34"/>
        <v>22364.95541092115</v>
      </c>
      <c r="M101" s="51">
        <f t="shared" si="40"/>
        <v>1</v>
      </c>
      <c r="N101" s="8">
        <f>B18</f>
        <v>2001</v>
      </c>
      <c r="O101" s="3">
        <f ca="1" t="shared" si="36"/>
        <v>13181</v>
      </c>
      <c r="P101" s="47">
        <f ca="1" t="shared" si="37"/>
        <v>1.6626523032274172</v>
      </c>
      <c r="Q101" s="3">
        <f t="shared" si="38"/>
        <v>21915.420008840585</v>
      </c>
    </row>
    <row r="102" spans="1:13" ht="12.75">
      <c r="A102" s="30">
        <f>A50</f>
        <v>0</v>
      </c>
      <c r="M102" s="30">
        <f>M50</f>
        <v>0</v>
      </c>
    </row>
    <row r="103" spans="2:17" ht="12.75">
      <c r="B103" s="18" t="s">
        <v>30</v>
      </c>
      <c r="C103" s="2">
        <f>SUM(C95:C102)</f>
        <v>79523</v>
      </c>
      <c r="E103" s="2">
        <f>SUM(E95:E102)</f>
        <v>95293.67642444279</v>
      </c>
      <c r="N103" s="18" t="s">
        <v>30</v>
      </c>
      <c r="O103" s="2">
        <f>SUM(O95:O102)</f>
        <v>79523</v>
      </c>
      <c r="Q103" s="2">
        <f>SUM(Q95:Q102)</f>
        <v>94203.92267278067</v>
      </c>
    </row>
    <row r="119" spans="3:10" ht="12.75">
      <c r="C119" s="2"/>
      <c r="D119" s="2"/>
      <c r="E119" s="2"/>
      <c r="F119" s="2"/>
      <c r="G119" s="2"/>
      <c r="H119" s="2"/>
      <c r="I119" s="2"/>
      <c r="J119" s="2"/>
    </row>
    <row r="120" spans="3:10" ht="12.75">
      <c r="C120" s="2"/>
      <c r="D120" s="2"/>
      <c r="E120" s="2"/>
      <c r="F120" s="2"/>
      <c r="G120" s="2"/>
      <c r="H120" s="2"/>
      <c r="I120" s="2"/>
      <c r="J120" s="2"/>
    </row>
    <row r="121" spans="3:10" ht="12.75">
      <c r="C121" s="2"/>
      <c r="D121" s="2"/>
      <c r="E121" s="2"/>
      <c r="F121" s="2"/>
      <c r="G121" s="2"/>
      <c r="H121" s="2"/>
      <c r="I121" s="2"/>
      <c r="J121" s="2"/>
    </row>
    <row r="122" spans="3:10" ht="12.75">
      <c r="C122" s="2"/>
      <c r="D122" s="2"/>
      <c r="E122" s="2"/>
      <c r="F122" s="2"/>
      <c r="G122" s="2"/>
      <c r="H122" s="2"/>
      <c r="I122" s="2"/>
      <c r="J122" s="2"/>
    </row>
    <row r="123" spans="3:10" ht="12.75">
      <c r="C123" s="2"/>
      <c r="D123" s="2"/>
      <c r="E123" s="2"/>
      <c r="F123" s="2"/>
      <c r="G123" s="2"/>
      <c r="H123" s="2"/>
      <c r="I123" s="2"/>
      <c r="J123" s="2"/>
    </row>
    <row r="124" spans="3:10" ht="12.75">
      <c r="C124" s="2"/>
      <c r="D124" s="2"/>
      <c r="E124" s="2"/>
      <c r="F124" s="2"/>
      <c r="G124" s="2"/>
      <c r="H124" s="2"/>
      <c r="I124" s="2"/>
      <c r="J124" s="2"/>
    </row>
    <row r="125" spans="3:10" ht="12.75">
      <c r="C125" s="2"/>
      <c r="D125" s="2"/>
      <c r="E125" s="2"/>
      <c r="F125" s="2"/>
      <c r="G125" s="2"/>
      <c r="H125" s="2"/>
      <c r="I125" s="2"/>
      <c r="J125" s="2"/>
    </row>
    <row r="126" spans="3:10" ht="12.75">
      <c r="C126" s="2"/>
      <c r="D126" s="2"/>
      <c r="E126" s="2"/>
      <c r="F126" s="2"/>
      <c r="G126" s="2"/>
      <c r="H126" s="2"/>
      <c r="I126" s="2"/>
      <c r="J126" s="2"/>
    </row>
    <row r="127" spans="3:10" ht="12.75">
      <c r="C127" s="2"/>
      <c r="D127" s="2"/>
      <c r="E127" s="2"/>
      <c r="F127" s="2"/>
      <c r="G127" s="2"/>
      <c r="H127" s="2"/>
      <c r="I127" s="2"/>
      <c r="J127" s="2"/>
    </row>
    <row r="128" spans="3:10" ht="12.75">
      <c r="C128" s="2"/>
      <c r="D128" s="2"/>
      <c r="E128" s="2"/>
      <c r="F128" s="2"/>
      <c r="G128" s="2"/>
      <c r="H128" s="2"/>
      <c r="I128" s="2"/>
      <c r="J128" s="2"/>
    </row>
    <row r="129" spans="3:10" ht="12.75">
      <c r="C129" s="2"/>
      <c r="D129" s="2"/>
      <c r="E129" s="2"/>
      <c r="F129" s="2"/>
      <c r="G129" s="2"/>
      <c r="H129" s="2"/>
      <c r="I129" s="2"/>
      <c r="J129" s="2"/>
    </row>
    <row r="130" spans="3:10" ht="12.75">
      <c r="C130" s="2"/>
      <c r="D130" s="2"/>
      <c r="E130" s="2"/>
      <c r="F130" s="2"/>
      <c r="G130" s="2"/>
      <c r="H130" s="2"/>
      <c r="I130" s="2"/>
      <c r="J130" s="2"/>
    </row>
    <row r="131" ht="12.75">
      <c r="C131" s="2"/>
    </row>
    <row r="132" ht="12.75">
      <c r="C132" s="2"/>
    </row>
    <row r="133" ht="12.75">
      <c r="C133" s="2"/>
    </row>
  </sheetData>
  <printOptions horizontalCentered="1"/>
  <pageMargins left="0.25" right="0.25" top="0.5" bottom="0.5" header="0.25" footer="0.25"/>
  <pageSetup blackAndWhite="1"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9.28125" style="0" customWidth="1"/>
    <col min="3" max="3" width="3.7109375" style="0" customWidth="1"/>
    <col min="4" max="4" width="45.8515625" style="0" bestFit="1" customWidth="1"/>
    <col min="5" max="5" width="30.421875" style="0" bestFit="1" customWidth="1"/>
    <col min="6" max="9" width="9.28125" style="0" customWidth="1"/>
  </cols>
  <sheetData>
    <row r="5" spans="1:4" ht="15.75" customHeight="1">
      <c r="A5" t="s">
        <v>89</v>
      </c>
      <c r="B5" s="1">
        <f>'Base Case'!D15/'Base Case'!C27</f>
        <v>9623.470122390208</v>
      </c>
      <c r="C5" s="80" t="s">
        <v>127</v>
      </c>
      <c r="D5" t="str">
        <f>TEXT('Base Case'!D15,"0,000")&amp;" / "&amp;'Base Case'!C27</f>
        <v>13,367 / 1.389</v>
      </c>
    </row>
    <row r="6" spans="1:4" ht="15.75" customHeight="1">
      <c r="A6" t="s">
        <v>90</v>
      </c>
      <c r="B6" s="76">
        <f>'Base Case'!G35*'Base Case'!F34</f>
        <v>1.0611426912839996</v>
      </c>
      <c r="C6" s="80" t="s">
        <v>127</v>
      </c>
      <c r="D6" t="str">
        <f>TEXT('Base Case'!G35,"0.000")&amp;" x "&amp;'Base Case'!F34</f>
        <v>1.029 x 1.031</v>
      </c>
    </row>
    <row r="7" spans="1:5" ht="15.75" customHeight="1">
      <c r="A7" t="s">
        <v>91</v>
      </c>
      <c r="B7" s="3">
        <f>'Base Case'!C45*'Base Case'!D45</f>
        <v>9990.797385347998</v>
      </c>
      <c r="C7" s="80" t="s">
        <v>127</v>
      </c>
      <c r="D7" t="str">
        <f>TEXT('Base Case'!C45,"0,000")&amp;" x "&amp;TEXT('Base Case'!D45,"0.000")</f>
        <v>9,707 x 1.029</v>
      </c>
      <c r="E7" t="s">
        <v>111</v>
      </c>
    </row>
    <row r="8" spans="1:5" ht="15.75" customHeight="1">
      <c r="A8" t="s">
        <v>92</v>
      </c>
      <c r="B8" s="3">
        <f>'Base Case'!F65/'Base Case'!E77</f>
        <v>8734</v>
      </c>
      <c r="C8" s="80" t="s">
        <v>127</v>
      </c>
      <c r="D8" t="str">
        <f>TEXT('Base Case'!F65,"0,000")&amp;" / "&amp;TEXT('Base Case'!E77,"0.000")</f>
        <v>10,638 / 1.218</v>
      </c>
      <c r="E8" s="2"/>
    </row>
    <row r="9" spans="2:5" ht="15.75" customHeight="1">
      <c r="B9" s="3"/>
      <c r="C9" s="3"/>
      <c r="D9" t="s">
        <v>113</v>
      </c>
      <c r="E9" s="2"/>
    </row>
    <row r="10" spans="2:5" ht="15.75" customHeight="1">
      <c r="B10" s="3"/>
      <c r="C10" s="80" t="s">
        <v>127</v>
      </c>
      <c r="D10" t="str">
        <f>TEXT('Base Case'!D65,"0,000")&amp;" x "&amp;TEXT('Base Case'!D77,"0.000")</f>
        <v>6,044 x 1.445</v>
      </c>
      <c r="E10" s="2"/>
    </row>
    <row r="11" spans="1:5" ht="15.75" customHeight="1">
      <c r="A11" t="s">
        <v>93</v>
      </c>
      <c r="B11">
        <f>'Base Case'!I84</f>
        <v>1.068</v>
      </c>
      <c r="D11" t="s">
        <v>115</v>
      </c>
      <c r="E11" s="2"/>
    </row>
    <row r="12" spans="1:4" ht="15.75" customHeight="1">
      <c r="A12" t="s">
        <v>94</v>
      </c>
      <c r="B12" s="101">
        <f>'Base Case'!E66</f>
        <v>10893</v>
      </c>
      <c r="C12" s="3"/>
      <c r="D12" t="s">
        <v>112</v>
      </c>
    </row>
    <row r="13" spans="1:4" ht="15.75" customHeight="1">
      <c r="A13" t="s">
        <v>95</v>
      </c>
      <c r="B13" s="76">
        <f>AVERAGE('Base Case'!E127:E128)</f>
        <v>1.010537995097407</v>
      </c>
      <c r="C13" s="80" t="s">
        <v>127</v>
      </c>
      <c r="D13" t="str">
        <f>"("&amp;TEXT('Base Case'!E127,"0.000")&amp;" + "&amp;TEXT('Base Case'!E128,"0.000")&amp;") / 2"</f>
        <v>(1.012 + 1.009) / 2</v>
      </c>
    </row>
    <row r="14" spans="1:4" ht="15.75" customHeight="1">
      <c r="A14" t="s">
        <v>96</v>
      </c>
      <c r="B14" s="76">
        <f>'Base Case'!C139</f>
        <v>1.2755040469399996</v>
      </c>
      <c r="C14" s="76"/>
      <c r="D14" t="s">
        <v>116</v>
      </c>
    </row>
    <row r="15" spans="1:4" ht="15.75" customHeight="1">
      <c r="A15" s="78" t="str">
        <f>"i"</f>
        <v>i</v>
      </c>
      <c r="B15" s="1">
        <f>'Base Case'!E12/'Base Case'!E117*1000</f>
        <v>11388.461538461537</v>
      </c>
      <c r="C15" s="80" t="s">
        <v>127</v>
      </c>
      <c r="D15" t="str">
        <f>TEXT('Base Case'!E12,"0,000")&amp;" / "&amp;TEXT('Base Case'!E117,"000")&amp;" x 1,000"</f>
        <v>8,883 / 780 x 1,000</v>
      </c>
    </row>
    <row r="16" spans="1:5" ht="15.75" customHeight="1">
      <c r="A16" t="s">
        <v>97</v>
      </c>
      <c r="B16" s="1">
        <f>'Base Case'!E204*'Base Case'!F204/1000</f>
        <v>17187.568001989865</v>
      </c>
      <c r="C16" s="80" t="s">
        <v>127</v>
      </c>
      <c r="D16" t="str">
        <f>TEXT('Base Case'!E204,"0,000")&amp;" x "&amp;TEXT('Base Case'!F204,"0,000")&amp;" / 1,000"</f>
        <v>17,174 x 1,001 / 1,000</v>
      </c>
      <c r="E16" t="s">
        <v>111</v>
      </c>
    </row>
    <row r="17" spans="1:4" ht="15.75" customHeight="1">
      <c r="A17" t="s">
        <v>98</v>
      </c>
      <c r="B17" s="1">
        <f>'Base Case'!N12*'Base Case'!O12</f>
        <v>20578.74</v>
      </c>
      <c r="C17" s="80" t="s">
        <v>127</v>
      </c>
      <c r="D17" t="str">
        <f>TEXT('Base Case'!N12,"0,000")&amp;" x "&amp;TEXT('Base Case'!O12,"0.000")</f>
        <v>26,383 x 0.780</v>
      </c>
    </row>
    <row r="18" spans="1:5" ht="15.75" customHeight="1">
      <c r="A18" t="s">
        <v>99</v>
      </c>
      <c r="B18" s="1">
        <f>'Base Case'!Q11*'Base Case'!P11</f>
        <v>3679.55152866881</v>
      </c>
      <c r="C18" s="80" t="s">
        <v>127</v>
      </c>
      <c r="D18" t="str">
        <f>TEXT('Base Case'!P11,"0,000")&amp;" x "&amp;TEXT('Base Case'!Q11,"0.000")</f>
        <v>16,545 x 0.222</v>
      </c>
      <c r="E18" t="s">
        <v>111</v>
      </c>
    </row>
    <row r="19" spans="1:4" ht="15.75" customHeight="1">
      <c r="A19" t="s">
        <v>100</v>
      </c>
      <c r="B19" s="2">
        <f>'Base Case'!S11+'Answer Key'!B18</f>
        <v>17046.55152866881</v>
      </c>
      <c r="C19" s="80" t="s">
        <v>127</v>
      </c>
      <c r="D19" t="str">
        <f>TEXT('Base Case'!S11,"0,000")&amp;" + "&amp;TEXT('Answer Key'!B18,"0,000")</f>
        <v>13,367 + 3,680</v>
      </c>
    </row>
    <row r="20" spans="1:4" ht="15.75" customHeight="1">
      <c r="A20" t="s">
        <v>101</v>
      </c>
      <c r="B20" s="2">
        <f>'Base Case'!E100</f>
        <v>16318.62132024335</v>
      </c>
      <c r="C20" s="2"/>
      <c r="D20" t="s">
        <v>117</v>
      </c>
    </row>
    <row r="21" spans="1:4" ht="15.75" customHeight="1">
      <c r="A21" t="s">
        <v>102</v>
      </c>
      <c r="B21" s="1">
        <v>20900</v>
      </c>
      <c r="C21" s="1"/>
      <c r="D21" t="s">
        <v>114</v>
      </c>
    </row>
    <row r="22" spans="1:4" ht="15.75" customHeight="1">
      <c r="A22" t="s">
        <v>103</v>
      </c>
      <c r="B22" s="33">
        <f>'Base Case'!S27/'Base Case'!N27</f>
        <v>0.7363876229311586</v>
      </c>
      <c r="C22" s="80" t="s">
        <v>127</v>
      </c>
      <c r="D22" t="str">
        <f>TEXT('Base Case'!S27,"0,000")&amp;" / "&amp;TEXT('Base Case'!N27,"0,000")</f>
        <v>15,350 / 20,845</v>
      </c>
    </row>
    <row r="23" spans="1:4" ht="15.75" customHeight="1">
      <c r="A23" t="s">
        <v>104</v>
      </c>
      <c r="B23" s="77">
        <f>'Base Case'!E224/'Base Case'!D236</f>
        <v>0.142</v>
      </c>
      <c r="C23" s="80" t="s">
        <v>127</v>
      </c>
      <c r="D23" t="str">
        <f>TEXT('Base Case'!E224,"0.00%")&amp;" / "&amp;TEXT('Base Case'!D236,"0.000")</f>
        <v>14.37% / 1.012</v>
      </c>
    </row>
    <row r="24" spans="2:4" ht="15.75" customHeight="1">
      <c r="B24" s="77"/>
      <c r="C24" s="77"/>
      <c r="D24" t="s">
        <v>113</v>
      </c>
    </row>
    <row r="25" spans="2:4" ht="15.75" customHeight="1">
      <c r="B25" s="77"/>
      <c r="C25" s="80" t="s">
        <v>127</v>
      </c>
      <c r="D25" t="str">
        <f>TEXT('Base Case'!C224,"0.00%")&amp;" x "&amp;TEXT('Base Case'!C236,"0.000")</f>
        <v>18.13% x 0.783</v>
      </c>
    </row>
    <row r="26" spans="1:4" ht="15.75" customHeight="1">
      <c r="A26" t="s">
        <v>105</v>
      </c>
      <c r="B26" s="77">
        <f>'Base Case'!C258*'Base Case'!D258</f>
        <v>0.1668522882616734</v>
      </c>
      <c r="C26" s="80" t="s">
        <v>127</v>
      </c>
      <c r="D26" t="str">
        <f>TEXT('Base Case'!C258,"0.00%")&amp;" x "&amp;TEXT('Base Case'!D258,"0.000")</f>
        <v>19.25% x 0.867</v>
      </c>
    </row>
    <row r="27" spans="1:4" ht="15.75" customHeight="1">
      <c r="A27" t="s">
        <v>106</v>
      </c>
      <c r="B27" s="77">
        <f>'Base Case'!N65/'Base Case'!O65</f>
        <v>0.05199364154192608</v>
      </c>
      <c r="C27" s="80" t="s">
        <v>127</v>
      </c>
      <c r="D27" t="str">
        <f>TEXT('Base Case'!N65,"000")&amp;" / "&amp;TEXT('Base Case'!O65,"0,000")</f>
        <v>785 / 15,098</v>
      </c>
    </row>
    <row r="28" spans="1:4" ht="15.75" customHeight="1">
      <c r="A28" t="s">
        <v>107</v>
      </c>
      <c r="B28" s="2">
        <f>'Base Case'!Z12-'Base Case'!AA12</f>
        <v>379</v>
      </c>
      <c r="C28" s="80" t="s">
        <v>127</v>
      </c>
      <c r="D28" t="str">
        <f>TEXT('Base Case'!Z12,"0,000")&amp;" - "&amp;TEXT('Base Case'!AA12,"0,000")</f>
        <v>7,332 - 6,953</v>
      </c>
    </row>
    <row r="29" spans="1:4" ht="15.75" customHeight="1">
      <c r="A29" t="s">
        <v>108</v>
      </c>
      <c r="B29" s="2">
        <f>'Base Case'!Y17-'Base Case'!Z17</f>
        <v>3633</v>
      </c>
      <c r="C29" s="80" t="s">
        <v>127</v>
      </c>
      <c r="D29" t="str">
        <f>TEXT('Base Case'!Y17,"0,000")&amp;" - "&amp;TEXT('Base Case'!Z17,"0,000")</f>
        <v>17,000 - 13,367</v>
      </c>
    </row>
    <row r="30" spans="1:4" ht="15.75" customHeight="1">
      <c r="A30" t="s">
        <v>109</v>
      </c>
      <c r="B30" s="1">
        <f>('Base Case'!AB17/2+'Base Case'!Y17-'Base Case'!Z17)*'Base Case'!AC33</f>
        <v>330.22600000000006</v>
      </c>
      <c r="C30" s="80" t="s">
        <v>127</v>
      </c>
      <c r="D30" t="str">
        <f>"("&amp;TEXT('Base Case'!AB17,"0,000")&amp;" / 2 + "&amp;TEXT('Answer Key'!B29,"0,000")&amp;") x "&amp;TEXT('Base Case'!AC33,"0.000")</f>
        <v>(5,435 / 2 + 3,633) x 0.052</v>
      </c>
    </row>
    <row r="31" spans="1:4" ht="15.75" customHeight="1">
      <c r="A31" t="s">
        <v>110</v>
      </c>
      <c r="B31" s="79">
        <f>'Base Case'!AD43-'Base Case'!AD42</f>
        <v>-475.8381549017504</v>
      </c>
      <c r="C31" s="80" t="s">
        <v>127</v>
      </c>
      <c r="D31" t="str">
        <f>TEXT('Base Case'!AD43,"0,000")&amp;" - "&amp;TEXT('Base Case'!AD42,"0,000")</f>
        <v>40,905 - 41,381</v>
      </c>
    </row>
  </sheetData>
  <printOptions horizontalCentered="1"/>
  <pageMargins left="0.25" right="0.25" top="0.5" bottom="0.5" header="0.25" footer="0.25"/>
  <pageSetup blackAndWhite="1"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Deloitte &amp; Touche LLP</dc:creator>
  <cp:keywords/>
  <dc:description/>
  <cp:lastModifiedBy>Computer Systems Support</cp:lastModifiedBy>
  <cp:lastPrinted>2000-07-09T22:25:15Z</cp:lastPrinted>
  <dcterms:created xsi:type="dcterms:W3CDTF">1998-05-21T16:23:29Z</dcterms:created>
  <dcterms:modified xsi:type="dcterms:W3CDTF">2002-06-24T14:43:44Z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