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2120" windowHeight="8430" activeTab="0"/>
  </bookViews>
  <sheets>
    <sheet name="Input" sheetId="1" r:id="rId1"/>
    <sheet name="Pd Loss Triangle" sheetId="2" r:id="rId2"/>
    <sheet name="Paid Loss Factors" sheetId="3" r:id="rId3"/>
    <sheet name="Ult Paid Loss" sheetId="4" r:id="rId4"/>
    <sheet name="Closed Claim Triangle" sheetId="5" r:id="rId5"/>
    <sheet name="Closed Claim Factors" sheetId="6" r:id="rId6"/>
    <sheet name="Ultimate Closed Claim" sheetId="7" r:id="rId7"/>
    <sheet name="Fitted Payment 36 mo" sheetId="8" r:id="rId8"/>
    <sheet name="2nd prior AY Ultimate" sheetId="9" r:id="rId9"/>
    <sheet name="Fitted Payment 24 mo" sheetId="10" r:id="rId10"/>
    <sheet name="Prior AY Ultimate" sheetId="11" r:id="rId11"/>
    <sheet name="Fitted Payment 12 mo" sheetId="12" r:id="rId12"/>
    <sheet name="Latest AY Ultimate" sheetId="13" r:id="rId13"/>
    <sheet name="Incremental Paid" sheetId="14" r:id="rId14"/>
    <sheet name="Incremental Paid per Claim" sheetId="15" r:id="rId15"/>
    <sheet name="Incremental Paid Trend Factors" sheetId="16" r:id="rId16"/>
    <sheet name="Trended Incremental Paid" sheetId="17" r:id="rId17"/>
    <sheet name="Projected Incremental Paid" sheetId="18" r:id="rId18"/>
    <sheet name="Avg Incremental Ultimate" sheetId="19" r:id="rId19"/>
    <sheet name="Sheet2" sheetId="20" r:id="rId20"/>
    <sheet name="Sheet3" sheetId="21" r:id="rId21"/>
  </sheets>
  <definedNames>
    <definedName name="curreval">'Input'!$B$4</definedName>
    <definedName name="curryear">'Input'!$B$5</definedName>
  </definedNames>
  <calcPr fullCalcOnLoad="1"/>
</workbook>
</file>

<file path=xl/sharedStrings.xml><?xml version="1.0" encoding="utf-8"?>
<sst xmlns="http://schemas.openxmlformats.org/spreadsheetml/2006/main" count="379" uniqueCount="129">
  <si>
    <t>XYZ Auto Insurance Company</t>
  </si>
  <si>
    <t>Cumulative Number of Closed Claims</t>
  </si>
  <si>
    <t>Accident</t>
  </si>
  <si>
    <t>Year</t>
  </si>
  <si>
    <t>Cumulative Paid Losses ($000)</t>
  </si>
  <si>
    <t>Months of Development</t>
  </si>
  <si>
    <t>Acc Year</t>
  </si>
  <si>
    <t>12-24</t>
  </si>
  <si>
    <t>24-36</t>
  </si>
  <si>
    <t>36-48</t>
  </si>
  <si>
    <t>48-60</t>
  </si>
  <si>
    <t>60-72</t>
  </si>
  <si>
    <t>72-84</t>
  </si>
  <si>
    <t>84-Ult</t>
  </si>
  <si>
    <t>3 year avg</t>
  </si>
  <si>
    <t>Selected</t>
  </si>
  <si>
    <t>CDF</t>
  </si>
  <si>
    <t>Ultimate</t>
  </si>
  <si>
    <t>Development of Closed Claims</t>
  </si>
  <si>
    <t>Diagonal</t>
  </si>
  <si>
    <t>*</t>
  </si>
  <si>
    <t>Development of Paid Losses</t>
  </si>
  <si>
    <t>Estimated</t>
  </si>
  <si>
    <t>Losses</t>
  </si>
  <si>
    <t>Paid</t>
  </si>
  <si>
    <t>Losses at</t>
  </si>
  <si>
    <t>36 Months</t>
  </si>
  <si>
    <t>Future</t>
  </si>
  <si>
    <t>Payments</t>
  </si>
  <si>
    <t>Number</t>
  </si>
  <si>
    <t>of Claims</t>
  </si>
  <si>
    <t>Number of</t>
  </si>
  <si>
    <t>Closed</t>
  </si>
  <si>
    <t>Claims at</t>
  </si>
  <si>
    <t>to Settle</t>
  </si>
  <si>
    <t>Beyond</t>
  </si>
  <si>
    <t>36 Mos</t>
  </si>
  <si>
    <t>Average</t>
  </si>
  <si>
    <t>Payment</t>
  </si>
  <si>
    <t>(1)</t>
  </si>
  <si>
    <t>(4)=(2)-(3)</t>
  </si>
  <si>
    <t>Calculation of Future Payment per Claim - 36 Months to Ultimate</t>
  </si>
  <si>
    <t>LN (x)</t>
  </si>
  <si>
    <t>LN (y)</t>
  </si>
  <si>
    <t>slope</t>
  </si>
  <si>
    <t>intercept</t>
  </si>
  <si>
    <t>fitted ln(Y)</t>
  </si>
  <si>
    <t>fitted</t>
  </si>
  <si>
    <t>Linear</t>
  </si>
  <si>
    <t>exp ln(Y)</t>
  </si>
  <si>
    <t>Exponential</t>
  </si>
  <si>
    <t>(2)</t>
  </si>
  <si>
    <t>(Ultimate - Closed Claims)  =  160 - 141</t>
  </si>
  <si>
    <t>(3)</t>
  </si>
  <si>
    <t>Estimated Future Loss Payments [ (1) x (2) ]</t>
  </si>
  <si>
    <t>(4)</t>
  </si>
  <si>
    <t>(5)</t>
  </si>
  <si>
    <t>Estimated Ultimate Losses [ (3) + (4) ]</t>
  </si>
  <si>
    <t>Calculation of Future Payment per Claim - 24 Months to Ultimate</t>
  </si>
  <si>
    <t>24 Months</t>
  </si>
  <si>
    <t>24 Mos</t>
  </si>
  <si>
    <t>(Ultimate - Closed Claims)  =  185 - 139</t>
  </si>
  <si>
    <t>Calculation of Future Payment per Claim - 12 Months to Ultimate</t>
  </si>
  <si>
    <t>(Ultimate - Closed Claims)  =  210 - 105</t>
  </si>
  <si>
    <t>Incremental Paid Losses ($000)</t>
  </si>
  <si>
    <t>0-12</t>
  </si>
  <si>
    <t>Incremental Paid Losses per Ultimate Claim (Actual)</t>
  </si>
  <si>
    <t>Select</t>
  </si>
  <si>
    <t>Ultimate losses from Slide 23</t>
  </si>
  <si>
    <t>Ultimate claim counts from Slide 27</t>
  </si>
  <si>
    <t>= 355 / 334 - 1</t>
  </si>
  <si>
    <t>Incremental Paid Losses per Ultimate Claim (On-Level)</t>
  </si>
  <si>
    <t>N/A</t>
  </si>
  <si>
    <t>= Slide 51 * (Slide 53) ^ number of years</t>
  </si>
  <si>
    <t>Incremental Paid Losses per Ultimate Claim (Projected)</t>
  </si>
  <si>
    <t>Total</t>
  </si>
  <si>
    <t>Projected Ultimate Losses</t>
  </si>
  <si>
    <t>Paid Loss</t>
  </si>
  <si>
    <t>Per Ult. Claim</t>
  </si>
  <si>
    <t>Projected</t>
  </si>
  <si>
    <t>Severity</t>
  </si>
  <si>
    <t>(4)=(2)+(3)</t>
  </si>
  <si>
    <t>Claims</t>
  </si>
  <si>
    <t>(2)=Slide 24</t>
  </si>
  <si>
    <t>(3)=Slide 24</t>
  </si>
  <si>
    <t>(5)=Slide 28</t>
  </si>
  <si>
    <t>(6)=Slide 28</t>
  </si>
  <si>
    <t>Forecasted Average Future Payment [Slide 30]</t>
  </si>
  <si>
    <t>Number of Future Claims to Settle [Slide 28]</t>
  </si>
  <si>
    <t>Paid Losses to Date [Slide 24]</t>
  </si>
  <si>
    <t>(2)=see below</t>
  </si>
  <si>
    <t>Forecasted Average Future Payment [Slide 35]</t>
  </si>
  <si>
    <t>Forecasted Average Future Payment [Slide 40]</t>
  </si>
  <si>
    <t>Slide 55, Selected</t>
  </si>
  <si>
    <t>(3)=Slide 57</t>
  </si>
  <si>
    <t>(5)=Slide 47</t>
  </si>
  <si>
    <t>(7)=(5)-(6)</t>
  </si>
  <si>
    <t>(8)=(4)/(7)</t>
  </si>
  <si>
    <t>(6)=(4)x(5)</t>
  </si>
  <si>
    <t>(000's)</t>
  </si>
  <si>
    <t>12 Months</t>
  </si>
  <si>
    <t>12 Mos</t>
  </si>
  <si>
    <t>Total = Sum across row (projected future severity)</t>
  </si>
  <si>
    <r>
      <t xml:space="preserve">= 334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(1.09) ^ 5</t>
    </r>
  </si>
  <si>
    <r>
      <t xml:space="preserve">= 70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(1.09) ^ 2</t>
    </r>
  </si>
  <si>
    <t>Estimated Ultimate Losses:  Accident Year</t>
  </si>
  <si>
    <t>Current year and location</t>
  </si>
  <si>
    <t>View / Master / Slide Master</t>
  </si>
  <si>
    <t>View / Master / Handouts Master</t>
  </si>
  <si>
    <t xml:space="preserve">current year   </t>
  </si>
  <si>
    <t>Manual Edits required in PP presentation InterII[1].ppt</t>
  </si>
  <si>
    <t>Automatic edits to IntermediateII.xls will flow through to sheets and links to InterII[1].ppt</t>
  </si>
  <si>
    <t>Fitted forecast value for AY</t>
  </si>
  <si>
    <t xml:space="preserve">update text for AY </t>
  </si>
  <si>
    <t xml:space="preserve">update text for AYs </t>
  </si>
  <si>
    <t xml:space="preserve">(2) </t>
  </si>
  <si>
    <t>Slide 32 for AY</t>
  </si>
  <si>
    <t>Prior AY ultimates from slide 24.</t>
  </si>
  <si>
    <t>Slide 37 for AY</t>
  </si>
  <si>
    <t>AY Change</t>
  </si>
  <si>
    <t>over prior AY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</si>
  <si>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</si>
  <si>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</si>
  <si>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</si>
  <si>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</si>
  <si>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</si>
  <si>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</si>
  <si>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</si>
  <si>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Fitted forecasted value for 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</si>
</sst>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</numFmts>
  <fonts count="4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6" fontId="1" fillId="2" borderId="0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169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0" fontId="0" fillId="2" borderId="0" xfId="0" applyFont="1" applyFill="1" applyAlignment="1" quotePrefix="1">
      <alignment/>
    </xf>
    <xf numFmtId="0" fontId="0" fillId="2" borderId="0" xfId="0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left"/>
    </xf>
    <xf numFmtId="168" fontId="0" fillId="2" borderId="0" xfId="0" applyNumberFormat="1" applyFont="1" applyFill="1" applyAlignment="1">
      <alignment/>
    </xf>
    <xf numFmtId="166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1" fontId="0" fillId="2" borderId="0" xfId="0" applyNumberFormat="1" applyFont="1" applyFill="1" applyBorder="1" applyAlignment="1" quotePrefix="1">
      <alignment horizontal="right"/>
    </xf>
    <xf numFmtId="1" fontId="0" fillId="2" borderId="0" xfId="0" applyNumberFormat="1" applyFont="1" applyFill="1" applyBorder="1" applyAlignment="1" quotePrefix="1">
      <alignment horizontal="center"/>
    </xf>
    <xf numFmtId="168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16" fontId="1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167" fontId="0" fillId="2" borderId="5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16" fontId="0" fillId="2" borderId="0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0" fontId="0" fillId="0" borderId="0" xfId="0" applyAlignment="1">
      <alignment vertical="justify"/>
    </xf>
    <xf numFmtId="166" fontId="0" fillId="2" borderId="0" xfId="0" applyNumberFormat="1" applyFont="1" applyFill="1" applyBorder="1" applyAlignment="1" quotePrefix="1">
      <alignment horizontal="right"/>
    </xf>
    <xf numFmtId="1" fontId="0" fillId="2" borderId="0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24.28125" style="0" customWidth="1"/>
    <col min="2" max="2" width="28.28125" style="0" bestFit="1" customWidth="1"/>
  </cols>
  <sheetData>
    <row r="1" ht="51">
      <c r="A1" s="69" t="s">
        <v>111</v>
      </c>
    </row>
    <row r="2" spans="1:3" ht="12.75">
      <c r="A2" s="76" t="s">
        <v>121</v>
      </c>
      <c r="B2" s="76" t="s">
        <v>122</v>
      </c>
      <c r="C2" s="76" t="s">
        <v>123</v>
      </c>
    </row>
    <row r="4" spans="1:3" ht="12.75">
      <c r="A4" s="79" t="s">
        <v>124</v>
      </c>
      <c r="B4" s="77">
        <v>37591</v>
      </c>
      <c r="C4" t="s">
        <v>125</v>
      </c>
    </row>
    <row r="5" spans="1:3" ht="12.75">
      <c r="A5" s="79" t="s">
        <v>126</v>
      </c>
      <c r="B5" s="78">
        <v>2001</v>
      </c>
      <c r="C5" t="s">
        <v>127</v>
      </c>
    </row>
    <row r="7" spans="1:3" ht="25.5">
      <c r="A7" s="69" t="s">
        <v>110</v>
      </c>
      <c r="B7" t="s">
        <v>107</v>
      </c>
      <c r="C7" t="s">
        <v>109</v>
      </c>
    </row>
    <row r="8" spans="2:3" ht="12.75">
      <c r="B8" t="s">
        <v>108</v>
      </c>
      <c r="C8" t="s">
        <v>106</v>
      </c>
    </row>
    <row r="9" spans="2:3" ht="12.75">
      <c r="B9">
        <v>1</v>
      </c>
      <c r="C9" t="s">
        <v>106</v>
      </c>
    </row>
    <row r="10" spans="2:5" ht="12.75">
      <c r="B10">
        <v>20</v>
      </c>
      <c r="C10" t="s">
        <v>113</v>
      </c>
      <c r="E10">
        <f>curryear-2</f>
        <v>1999</v>
      </c>
    </row>
    <row r="11" spans="2:5" ht="12.75">
      <c r="B11">
        <v>21</v>
      </c>
      <c r="C11" t="s">
        <v>113</v>
      </c>
      <c r="E11">
        <f>curryear-2</f>
        <v>1999</v>
      </c>
    </row>
    <row r="12" spans="2:5" ht="12.75">
      <c r="B12">
        <v>25</v>
      </c>
      <c r="C12" t="s">
        <v>113</v>
      </c>
      <c r="E12">
        <f>curryear-2</f>
        <v>1999</v>
      </c>
    </row>
    <row r="13" spans="2:5" ht="12.75">
      <c r="B13">
        <v>29</v>
      </c>
      <c r="C13" t="s">
        <v>113</v>
      </c>
      <c r="E13">
        <f>curryear-2</f>
        <v>1999</v>
      </c>
    </row>
    <row r="14" spans="2:5" ht="12.75">
      <c r="B14">
        <v>31</v>
      </c>
      <c r="C14" t="s">
        <v>113</v>
      </c>
      <c r="E14">
        <f>curryear-2</f>
        <v>1999</v>
      </c>
    </row>
    <row r="15" spans="2:6" ht="12.75">
      <c r="B15">
        <v>33</v>
      </c>
      <c r="C15" t="s">
        <v>114</v>
      </c>
      <c r="E15">
        <f>curryear-2</f>
        <v>1999</v>
      </c>
      <c r="F15">
        <f>curryear-1</f>
        <v>2000</v>
      </c>
    </row>
    <row r="16" spans="2:6" ht="12.75">
      <c r="B16">
        <v>34</v>
      </c>
      <c r="C16" t="s">
        <v>114</v>
      </c>
      <c r="E16">
        <f>curryear-2</f>
        <v>1999</v>
      </c>
      <c r="F16">
        <f>curryear-1</f>
        <v>2000</v>
      </c>
    </row>
    <row r="17" spans="2:5" ht="12.75">
      <c r="B17">
        <v>36</v>
      </c>
      <c r="C17" t="s">
        <v>113</v>
      </c>
      <c r="E17">
        <f>curryear-1</f>
        <v>2000</v>
      </c>
    </row>
    <row r="18" spans="2:7" ht="12.75">
      <c r="B18">
        <v>38</v>
      </c>
      <c r="C18" t="s">
        <v>114</v>
      </c>
      <c r="E18">
        <f>curryear-2</f>
        <v>1999</v>
      </c>
      <c r="F18">
        <f>curryear-1</f>
        <v>2000</v>
      </c>
      <c r="G18">
        <f>curryear</f>
        <v>2001</v>
      </c>
    </row>
    <row r="19" spans="2:7" ht="12.75">
      <c r="B19">
        <v>39</v>
      </c>
      <c r="C19" t="s">
        <v>114</v>
      </c>
      <c r="E19">
        <f>curryear-2</f>
        <v>1999</v>
      </c>
      <c r="F19">
        <f>curryear-1</f>
        <v>2000</v>
      </c>
      <c r="G19">
        <f>curryear</f>
        <v>2001</v>
      </c>
    </row>
    <row r="20" spans="2:5" ht="12.75">
      <c r="B20">
        <v>41</v>
      </c>
      <c r="C20" t="s">
        <v>113</v>
      </c>
      <c r="E20">
        <f>curryear</f>
        <v>2001</v>
      </c>
    </row>
    <row r="21" spans="2:5" ht="12.75">
      <c r="B21">
        <v>54</v>
      </c>
      <c r="C21" t="s">
        <v>113</v>
      </c>
      <c r="E21">
        <f>curryear</f>
        <v>2001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8.421875" style="3" customWidth="1"/>
    <col min="2" max="2" width="12.00390625" style="3" customWidth="1"/>
    <col min="3" max="3" width="13.28125" style="3" customWidth="1"/>
    <col min="4" max="4" width="9.140625" style="3" customWidth="1"/>
    <col min="5" max="6" width="12.8515625" style="3" customWidth="1"/>
    <col min="7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58</v>
      </c>
      <c r="C2" s="2"/>
      <c r="D2" s="2"/>
      <c r="E2" s="2"/>
      <c r="F2" s="2"/>
      <c r="G2" s="2"/>
      <c r="H2" s="2"/>
    </row>
    <row r="3" spans="1:8" ht="12.75">
      <c r="A3" s="4"/>
      <c r="B3" s="2"/>
      <c r="C3" s="2"/>
      <c r="D3" s="2"/>
      <c r="E3" s="2"/>
      <c r="F3" s="2"/>
      <c r="G3" s="2"/>
      <c r="H3" s="2"/>
    </row>
    <row r="4" spans="1:8" ht="12.75">
      <c r="A4" s="4"/>
      <c r="B4" s="2"/>
      <c r="C4" s="2"/>
      <c r="D4" s="2"/>
      <c r="E4" s="2"/>
      <c r="F4" s="2"/>
      <c r="G4" s="2"/>
      <c r="H4" s="2"/>
    </row>
    <row r="5" spans="1:8" ht="12.75">
      <c r="A5" s="4"/>
      <c r="B5" s="2"/>
      <c r="C5" s="2"/>
      <c r="D5" s="2"/>
      <c r="E5" s="2"/>
      <c r="F5" s="2"/>
      <c r="H5" s="2"/>
    </row>
    <row r="6" spans="1:9" ht="12.75">
      <c r="A6" s="5"/>
      <c r="B6" s="11"/>
      <c r="C6" s="11"/>
      <c r="E6" s="25" t="s">
        <v>22</v>
      </c>
      <c r="F6" s="25" t="s">
        <v>31</v>
      </c>
      <c r="G6" s="25" t="s">
        <v>29</v>
      </c>
      <c r="I6" s="24"/>
    </row>
    <row r="7" spans="1:8" ht="12.75">
      <c r="A7" s="5"/>
      <c r="B7" s="25" t="s">
        <v>22</v>
      </c>
      <c r="C7" s="25" t="s">
        <v>24</v>
      </c>
      <c r="D7" s="25" t="s">
        <v>22</v>
      </c>
      <c r="E7" s="25" t="s">
        <v>17</v>
      </c>
      <c r="F7" s="25" t="s">
        <v>32</v>
      </c>
      <c r="G7" s="25" t="s">
        <v>34</v>
      </c>
      <c r="H7" s="26" t="s">
        <v>37</v>
      </c>
    </row>
    <row r="8" spans="1:8" ht="12.75">
      <c r="A8" s="5" t="s">
        <v>2</v>
      </c>
      <c r="B8" s="25" t="s">
        <v>17</v>
      </c>
      <c r="C8" s="25" t="s">
        <v>25</v>
      </c>
      <c r="D8" s="25" t="s">
        <v>27</v>
      </c>
      <c r="E8" s="25" t="s">
        <v>29</v>
      </c>
      <c r="F8" s="25" t="s">
        <v>33</v>
      </c>
      <c r="G8" s="25" t="s">
        <v>35</v>
      </c>
      <c r="H8" s="26" t="s">
        <v>27</v>
      </c>
    </row>
    <row r="9" spans="1:8" ht="12.75">
      <c r="A9" s="5" t="s">
        <v>3</v>
      </c>
      <c r="B9" s="25" t="s">
        <v>23</v>
      </c>
      <c r="C9" s="25" t="s">
        <v>59</v>
      </c>
      <c r="D9" s="25" t="s">
        <v>28</v>
      </c>
      <c r="E9" s="25" t="s">
        <v>30</v>
      </c>
      <c r="F9" s="25" t="s">
        <v>59</v>
      </c>
      <c r="G9" s="25" t="s">
        <v>60</v>
      </c>
      <c r="H9" s="27" t="s">
        <v>38</v>
      </c>
    </row>
    <row r="10" spans="1:8" ht="12.75">
      <c r="A10" s="28" t="s">
        <v>39</v>
      </c>
      <c r="B10" s="25" t="s">
        <v>90</v>
      </c>
      <c r="C10" s="25" t="s">
        <v>84</v>
      </c>
      <c r="D10" s="30" t="s">
        <v>40</v>
      </c>
      <c r="E10" s="25" t="s">
        <v>85</v>
      </c>
      <c r="F10" s="25" t="s">
        <v>86</v>
      </c>
      <c r="G10" s="30" t="s">
        <v>96</v>
      </c>
      <c r="H10" s="29" t="s">
        <v>97</v>
      </c>
    </row>
    <row r="11" spans="1:8" ht="12.75">
      <c r="A11" s="5">
        <f>A12-1</f>
        <v>1996</v>
      </c>
      <c r="B11" s="31">
        <f>'Fitted Payment 36 mo'!B12</f>
        <v>143820</v>
      </c>
      <c r="C11" s="16">
        <f>'Ult Paid Loss'!C7*1000</f>
        <v>97000</v>
      </c>
      <c r="D11" s="16">
        <f>B11-C11</f>
        <v>46820</v>
      </c>
      <c r="E11" s="25">
        <f>'Ultimate Closed Claim'!I7</f>
        <v>110.09</v>
      </c>
      <c r="F11" s="25">
        <f>'Ultimate Closed Claim'!C7</f>
        <v>83</v>
      </c>
      <c r="G11" s="25">
        <f>E11-F11</f>
        <v>27.090000000000003</v>
      </c>
      <c r="H11" s="31">
        <f>D11/G11</f>
        <v>1728.3130306386117</v>
      </c>
    </row>
    <row r="12" spans="1:8" ht="12.75">
      <c r="A12" s="5">
        <f>A13-1</f>
        <v>1997</v>
      </c>
      <c r="B12" s="32">
        <f>'Fitted Payment 36 mo'!B13</f>
        <v>180524.69999999995</v>
      </c>
      <c r="C12" s="17">
        <f>'Ult Paid Loss'!C8*1000</f>
        <v>120100</v>
      </c>
      <c r="D12" s="17">
        <f>B12-C12</f>
        <v>60424.69999999995</v>
      </c>
      <c r="E12" s="25">
        <f>'Ultimate Closed Claim'!I8</f>
        <v>125.6844</v>
      </c>
      <c r="F12" s="25">
        <f>'Ultimate Closed Claim'!C8</f>
        <v>94</v>
      </c>
      <c r="G12" s="25">
        <f>E12-F12</f>
        <v>31.684399999999997</v>
      </c>
      <c r="H12" s="32">
        <f>D12/G12</f>
        <v>1907.0804559972719</v>
      </c>
    </row>
    <row r="13" spans="1:8" ht="12.75">
      <c r="A13" s="5">
        <f>A14-1</f>
        <v>1998</v>
      </c>
      <c r="B13" s="32">
        <f>'Fitted Payment 36 mo'!B14</f>
        <v>218371.54499999998</v>
      </c>
      <c r="C13" s="17">
        <f>'Ult Paid Loss'!C9*1000</f>
        <v>147100</v>
      </c>
      <c r="D13" s="17">
        <f>B13-C13</f>
        <v>71271.54499999998</v>
      </c>
      <c r="E13" s="25">
        <f>'Ultimate Closed Claim'!I9</f>
        <v>139.2747984</v>
      </c>
      <c r="F13" s="25">
        <f>'Ultimate Closed Claim'!C9</f>
        <v>105</v>
      </c>
      <c r="G13" s="25">
        <f>E13-F13</f>
        <v>34.27479840000001</v>
      </c>
      <c r="H13" s="32">
        <f>D13/G13</f>
        <v>2079.415440121158</v>
      </c>
    </row>
    <row r="14" spans="1:8" ht="12.75">
      <c r="A14" s="5">
        <f>'2nd prior AY Ultimate'!F2</f>
        <v>1999</v>
      </c>
      <c r="B14" s="32">
        <f>'2nd prior AY Ultimate'!F10</f>
        <v>276092.8155723568</v>
      </c>
      <c r="C14" s="17">
        <f>'Ult Paid Loss'!C10*1000</f>
        <v>184100</v>
      </c>
      <c r="D14" s="17">
        <f>B14-C14</f>
        <v>91992.8155723568</v>
      </c>
      <c r="E14" s="25">
        <f>'Ultimate Closed Claim'!I10</f>
        <v>160.39991476800003</v>
      </c>
      <c r="F14" s="25">
        <f>'Ultimate Closed Claim'!C10</f>
        <v>120</v>
      </c>
      <c r="G14" s="25">
        <f>E14-F14</f>
        <v>40.39991476800003</v>
      </c>
      <c r="H14" s="32">
        <f>D14/G14</f>
        <v>2277.054694313922</v>
      </c>
    </row>
    <row r="15" spans="1:8" ht="12.75">
      <c r="A15" s="5"/>
      <c r="B15" s="23"/>
      <c r="C15" s="23"/>
      <c r="D15" s="23"/>
      <c r="E15" s="23"/>
      <c r="F15" s="23"/>
      <c r="G15" s="23"/>
      <c r="H15" s="23"/>
    </row>
    <row r="16" spans="1:8" ht="12.75">
      <c r="A16" s="5"/>
      <c r="B16" s="23"/>
      <c r="C16" s="23"/>
      <c r="D16" s="23"/>
      <c r="E16" s="74" t="s">
        <v>128</v>
      </c>
      <c r="F16" s="34"/>
      <c r="G16" s="72">
        <f>A14+1</f>
        <v>2000</v>
      </c>
      <c r="H16" s="35">
        <f>'Fitted Payment 24 mo'!G34</f>
        <v>2497.374467877732</v>
      </c>
    </row>
    <row r="17" spans="1:8" ht="12.75">
      <c r="A17" s="5"/>
      <c r="B17" s="23"/>
      <c r="C17" s="23"/>
      <c r="D17" s="23"/>
      <c r="E17" s="23"/>
      <c r="F17" s="1"/>
      <c r="G17" s="1"/>
      <c r="H17" s="1"/>
    </row>
    <row r="18" spans="2:8" ht="12.75">
      <c r="B18" s="20" t="s">
        <v>51</v>
      </c>
      <c r="C18" s="23" t="s">
        <v>116</v>
      </c>
      <c r="D18" s="71">
        <f>A14</f>
        <v>1999</v>
      </c>
      <c r="E18" s="1"/>
      <c r="F18" s="1"/>
      <c r="G18" s="1"/>
      <c r="H18" s="1"/>
    </row>
    <row r="19" spans="1:8" ht="12.75">
      <c r="A19" s="5"/>
      <c r="B19" s="23"/>
      <c r="C19" s="23" t="s">
        <v>117</v>
      </c>
      <c r="D19" s="1"/>
      <c r="E19" s="1"/>
      <c r="F19" s="1"/>
      <c r="G19" s="1"/>
      <c r="H19" s="1"/>
    </row>
    <row r="20" spans="1:8" ht="12.75">
      <c r="A20" s="5"/>
      <c r="B20" s="23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36"/>
      <c r="B22" s="23"/>
      <c r="C22" s="23"/>
      <c r="D22" s="23"/>
      <c r="E22" s="23"/>
      <c r="F22" s="23"/>
      <c r="G22" s="23"/>
      <c r="H22" s="23"/>
    </row>
    <row r="23" spans="1:8" ht="12.75">
      <c r="A23" s="1"/>
      <c r="B23" s="23"/>
      <c r="C23" s="23"/>
      <c r="D23" s="23"/>
      <c r="E23" s="23"/>
      <c r="F23" s="23"/>
      <c r="G23" s="23"/>
      <c r="H23" s="23"/>
    </row>
    <row r="24" spans="1:8" ht="12.75">
      <c r="A24" s="1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4" t="s">
        <v>48</v>
      </c>
      <c r="B26" s="24"/>
      <c r="C26" s="24"/>
      <c r="D26" s="3" t="s">
        <v>50</v>
      </c>
      <c r="H26" s="12"/>
    </row>
    <row r="27" spans="1:6" ht="12.75">
      <c r="A27" s="3" t="s">
        <v>44</v>
      </c>
      <c r="B27" s="3">
        <f>SLOPE('Fitted Payment 24 mo'!H11:H14,'Fitted Payment 24 mo'!A30:A33)</f>
        <v>181.8559975154698</v>
      </c>
      <c r="E27" s="3" t="s">
        <v>44</v>
      </c>
      <c r="F27" s="3">
        <f>SLOPE(E30:E33,D30:D33)</f>
        <v>182.51714468117748</v>
      </c>
    </row>
    <row r="28" spans="1:6" ht="12.75">
      <c r="A28" s="3" t="s">
        <v>45</v>
      </c>
      <c r="B28" s="3">
        <f>INTERCEPT('Fitted Payment 24 mo'!H11:H14,'Fitted Payment 24 mo'!A30:A33)</f>
        <v>-361259.38913188316</v>
      </c>
      <c r="E28" s="3" t="s">
        <v>45</v>
      </c>
      <c r="F28" s="3">
        <f>INTERCEPT(E30:E33,D30:D33)</f>
        <v>-1379.4720186696125</v>
      </c>
    </row>
    <row r="29" spans="1:7" ht="12.75">
      <c r="A29" s="24"/>
      <c r="B29" s="24" t="s">
        <v>47</v>
      </c>
      <c r="C29" s="24"/>
      <c r="D29" s="3" t="s">
        <v>42</v>
      </c>
      <c r="E29" s="3" t="s">
        <v>43</v>
      </c>
      <c r="F29" s="3" t="s">
        <v>46</v>
      </c>
      <c r="G29" s="3" t="s">
        <v>49</v>
      </c>
    </row>
    <row r="30" spans="1:7" ht="12.75">
      <c r="A30" s="37">
        <f>A11</f>
        <v>1996</v>
      </c>
      <c r="B30" s="24">
        <f>B$27*A30+B$28</f>
        <v>1725.1819089945639</v>
      </c>
      <c r="C30" s="24"/>
      <c r="D30" s="3">
        <f>LN(A30)</f>
        <v>7.59890045687141</v>
      </c>
      <c r="E30" s="3">
        <f>LN('Fitted Payment 24 mo'!H11)</f>
        <v>7.454901084947898</v>
      </c>
      <c r="F30" s="3">
        <f>F$27*D30+F$28</f>
        <v>7.457595435052326</v>
      </c>
      <c r="G30" s="3">
        <f>EXP(F30)</f>
        <v>1732.9759900348613</v>
      </c>
    </row>
    <row r="31" spans="1:7" ht="12.75">
      <c r="A31" s="37">
        <f>A12</f>
        <v>1997</v>
      </c>
      <c r="B31" s="24">
        <f>B$27*A31+B$28</f>
        <v>1907.0379065099987</v>
      </c>
      <c r="C31" s="24"/>
      <c r="D31" s="3">
        <f>LN(A31)</f>
        <v>7.599401333415815</v>
      </c>
      <c r="E31" s="3">
        <f>LN('Fitted Payment 24 mo'!H12)</f>
        <v>7.553328794535976</v>
      </c>
      <c r="F31" s="3">
        <f>F$27*D31+F$28</f>
        <v>7.5490139917749275</v>
      </c>
      <c r="G31" s="3">
        <f>EXP(F31)</f>
        <v>1898.8695070317833</v>
      </c>
    </row>
    <row r="32" spans="1:7" ht="12.75">
      <c r="A32" s="37">
        <f>A13</f>
        <v>1998</v>
      </c>
      <c r="B32" s="24">
        <f>B$27*A32+B$28</f>
        <v>2088.893904025492</v>
      </c>
      <c r="C32" s="24"/>
      <c r="D32" s="3">
        <f>LN(A32)</f>
        <v>7.599901959208498</v>
      </c>
      <c r="E32" s="3">
        <f>LN('Fitted Payment 24 mo'!H13)</f>
        <v>7.639842094793382</v>
      </c>
      <c r="F32" s="3">
        <f>F$27*D32+F$28</f>
        <v>7.640386782009273</v>
      </c>
      <c r="G32" s="3">
        <f>EXP(F32)</f>
        <v>2080.548379648747</v>
      </c>
    </row>
    <row r="33" spans="1:7" ht="12.75">
      <c r="A33" s="37">
        <f>A14</f>
        <v>1999</v>
      </c>
      <c r="B33" s="24">
        <f>B$27*A33+B$28</f>
        <v>2270.749901540985</v>
      </c>
      <c r="C33" s="24"/>
      <c r="D33" s="3">
        <f>LN(A33)</f>
        <v>7.6004023345004</v>
      </c>
      <c r="E33" s="3">
        <f>LN('Fitted Payment 24 mo'!H14)</f>
        <v>7.7306380861151425</v>
      </c>
      <c r="F33" s="3">
        <f>F$27*D33+F$28</f>
        <v>7.731713851556151</v>
      </c>
      <c r="G33" s="3">
        <f>EXP(F33)</f>
        <v>2279.5055891189536</v>
      </c>
    </row>
    <row r="34" spans="1:7" ht="12.75">
      <c r="A34" s="37">
        <f>A33+1</f>
        <v>2000</v>
      </c>
      <c r="B34" s="24">
        <f>B$27*A34+B$28</f>
        <v>2452.6058990564197</v>
      </c>
      <c r="C34" s="24"/>
      <c r="D34" s="3">
        <f>LN(A34)</f>
        <v>7.600902459542082</v>
      </c>
      <c r="F34" s="3">
        <f>F$27*D34+F$28</f>
        <v>7.822995246147457</v>
      </c>
      <c r="G34" s="3">
        <f>EXP(F34)</f>
        <v>2497.374467877732</v>
      </c>
    </row>
    <row r="37" ht="12.75">
      <c r="A3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6.421875" style="3" customWidth="1"/>
    <col min="2" max="2" width="11.00390625" style="3" bestFit="1" customWidth="1"/>
    <col min="3" max="3" width="9.140625" style="3" customWidth="1"/>
    <col min="4" max="5" width="11.00390625" style="3" bestFit="1" customWidth="1"/>
    <col min="6" max="6" width="10.57421875" style="3" bestFit="1" customWidth="1"/>
    <col min="7" max="16384" width="9.140625" style="3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105</v>
      </c>
      <c r="B2" s="2"/>
      <c r="C2" s="2"/>
      <c r="D2" s="2"/>
      <c r="E2" s="2"/>
      <c r="F2" s="2">
        <f>curryear-1</f>
        <v>2000</v>
      </c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0" t="s">
        <v>39</v>
      </c>
      <c r="B5" s="21" t="s">
        <v>91</v>
      </c>
      <c r="C5" s="2"/>
      <c r="D5" s="2"/>
      <c r="E5" s="2"/>
      <c r="F5" s="22">
        <f>'Fitted Payment 24 mo'!H16</f>
        <v>2497.374467877732</v>
      </c>
    </row>
    <row r="6" spans="1:5" ht="12.75">
      <c r="A6" s="20" t="s">
        <v>51</v>
      </c>
      <c r="B6" s="21" t="s">
        <v>88</v>
      </c>
      <c r="C6" s="2"/>
      <c r="D6" s="2"/>
      <c r="E6" s="2"/>
    </row>
    <row r="7" spans="1:6" ht="12.75">
      <c r="A7" s="23"/>
      <c r="B7" s="1" t="s">
        <v>61</v>
      </c>
      <c r="C7" s="1"/>
      <c r="D7" s="1"/>
      <c r="E7" s="1"/>
      <c r="F7" s="24">
        <f>'Ultimate Closed Claim'!I11-'Ultimate Closed Claim'!C11</f>
        <v>46.322193723584036</v>
      </c>
    </row>
    <row r="8" spans="1:6" ht="12.75">
      <c r="A8" s="20" t="s">
        <v>53</v>
      </c>
      <c r="B8" s="21" t="s">
        <v>54</v>
      </c>
      <c r="C8" s="2"/>
      <c r="D8" s="2"/>
      <c r="E8" s="2"/>
      <c r="F8" s="16">
        <f>F5*F7</f>
        <v>115683.86390136491</v>
      </c>
    </row>
    <row r="9" spans="1:6" ht="12.75">
      <c r="A9" s="20" t="s">
        <v>55</v>
      </c>
      <c r="B9" s="21" t="s">
        <v>89</v>
      </c>
      <c r="C9" s="23"/>
      <c r="D9" s="23"/>
      <c r="E9" s="23"/>
      <c r="F9" s="16">
        <f>'Ult Paid Loss'!C11*1000</f>
        <v>233400</v>
      </c>
    </row>
    <row r="10" spans="1:6" ht="12.75">
      <c r="A10" s="20" t="s">
        <v>56</v>
      </c>
      <c r="B10" s="21" t="s">
        <v>57</v>
      </c>
      <c r="C10" s="23"/>
      <c r="D10" s="23"/>
      <c r="E10" s="23"/>
      <c r="F10" s="16">
        <f>F8+F9</f>
        <v>349083.8639013649</v>
      </c>
    </row>
    <row r="11" spans="1:6" ht="12.75">
      <c r="A11" s="23"/>
      <c r="B11" s="23"/>
      <c r="C11" s="23"/>
      <c r="D11" s="23"/>
      <c r="E11" s="23"/>
      <c r="F11" s="16"/>
    </row>
    <row r="12" spans="1:6" ht="12.75">
      <c r="A12" s="1"/>
      <c r="B12" s="1"/>
      <c r="C12" s="1"/>
      <c r="D12" s="1"/>
      <c r="E12" s="1"/>
      <c r="F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8.421875" style="3" customWidth="1"/>
    <col min="2" max="2" width="12.140625" style="3" customWidth="1"/>
    <col min="3" max="3" width="13.00390625" style="3" customWidth="1"/>
    <col min="4" max="4" width="9.140625" style="3" customWidth="1"/>
    <col min="5" max="6" width="11.57421875" style="3" customWidth="1"/>
    <col min="7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62</v>
      </c>
      <c r="C2" s="2"/>
      <c r="D2" s="2"/>
      <c r="E2" s="2"/>
      <c r="F2" s="2"/>
      <c r="G2" s="2"/>
      <c r="H2" s="2"/>
    </row>
    <row r="3" spans="1:8" ht="12.75">
      <c r="A3" s="4"/>
      <c r="B3" s="2"/>
      <c r="C3" s="2"/>
      <c r="D3" s="2"/>
      <c r="E3" s="2"/>
      <c r="F3" s="2"/>
      <c r="G3" s="2"/>
      <c r="H3" s="2"/>
    </row>
    <row r="4" spans="1:8" ht="12.75">
      <c r="A4" s="4"/>
      <c r="B4" s="2"/>
      <c r="C4" s="2"/>
      <c r="D4" s="2"/>
      <c r="E4" s="2"/>
      <c r="F4" s="2"/>
      <c r="G4" s="2"/>
      <c r="H4" s="2"/>
    </row>
    <row r="5" spans="1:8" ht="12.75">
      <c r="A5" s="4"/>
      <c r="B5" s="2"/>
      <c r="C5" s="2"/>
      <c r="D5" s="2"/>
      <c r="E5" s="2"/>
      <c r="F5" s="2"/>
      <c r="H5" s="2"/>
    </row>
    <row r="6" spans="1:9" ht="12.75">
      <c r="A6" s="5"/>
      <c r="B6" s="11"/>
      <c r="C6" s="11"/>
      <c r="E6" s="25" t="s">
        <v>22</v>
      </c>
      <c r="F6" s="25" t="s">
        <v>31</v>
      </c>
      <c r="G6" s="25" t="s">
        <v>29</v>
      </c>
      <c r="I6" s="24"/>
    </row>
    <row r="7" spans="1:8" ht="12.75">
      <c r="A7" s="5"/>
      <c r="B7" s="25" t="s">
        <v>22</v>
      </c>
      <c r="C7" s="25" t="s">
        <v>24</v>
      </c>
      <c r="D7" s="25" t="s">
        <v>22</v>
      </c>
      <c r="E7" s="25" t="s">
        <v>17</v>
      </c>
      <c r="F7" s="25" t="s">
        <v>32</v>
      </c>
      <c r="G7" s="25" t="s">
        <v>34</v>
      </c>
      <c r="H7" s="26" t="s">
        <v>37</v>
      </c>
    </row>
    <row r="8" spans="1:8" ht="12.75">
      <c r="A8" s="5" t="s">
        <v>2</v>
      </c>
      <c r="B8" s="25" t="s">
        <v>17</v>
      </c>
      <c r="C8" s="25" t="s">
        <v>25</v>
      </c>
      <c r="D8" s="25" t="s">
        <v>27</v>
      </c>
      <c r="E8" s="25" t="s">
        <v>29</v>
      </c>
      <c r="F8" s="25" t="s">
        <v>33</v>
      </c>
      <c r="G8" s="25" t="s">
        <v>35</v>
      </c>
      <c r="H8" s="26" t="s">
        <v>27</v>
      </c>
    </row>
    <row r="9" spans="1:8" ht="12.75">
      <c r="A9" s="5" t="s">
        <v>3</v>
      </c>
      <c r="B9" s="25" t="s">
        <v>23</v>
      </c>
      <c r="C9" s="25" t="s">
        <v>100</v>
      </c>
      <c r="D9" s="25" t="s">
        <v>28</v>
      </c>
      <c r="E9" s="25" t="s">
        <v>30</v>
      </c>
      <c r="F9" s="25" t="s">
        <v>100</v>
      </c>
      <c r="G9" s="25" t="s">
        <v>101</v>
      </c>
      <c r="H9" s="27" t="s">
        <v>38</v>
      </c>
    </row>
    <row r="10" spans="1:8" ht="12.75">
      <c r="A10" s="28" t="s">
        <v>39</v>
      </c>
      <c r="B10" s="25" t="s">
        <v>90</v>
      </c>
      <c r="C10" s="25" t="s">
        <v>84</v>
      </c>
      <c r="D10" s="30" t="s">
        <v>40</v>
      </c>
      <c r="E10" s="25" t="s">
        <v>85</v>
      </c>
      <c r="F10" s="25" t="s">
        <v>86</v>
      </c>
      <c r="G10" s="30" t="s">
        <v>96</v>
      </c>
      <c r="H10" s="29" t="s">
        <v>97</v>
      </c>
    </row>
    <row r="11" spans="1:8" ht="12.75">
      <c r="A11" s="5">
        <f>A12-1</f>
        <v>1997</v>
      </c>
      <c r="B11" s="31">
        <f>'Fitted Payment 24 mo'!B12</f>
        <v>180524.69999999995</v>
      </c>
      <c r="C11" s="16">
        <f>'Ult Paid Loss'!B8*1000</f>
        <v>75500</v>
      </c>
      <c r="D11" s="16">
        <f>B11-C11</f>
        <v>105024.69999999995</v>
      </c>
      <c r="E11" s="25">
        <f>'Ultimate Closed Claim'!I8</f>
        <v>125.6844</v>
      </c>
      <c r="F11" s="25">
        <f>'Ultimate Closed Claim'!B8</f>
        <v>63</v>
      </c>
      <c r="G11" s="25">
        <f>E11-F11</f>
        <v>62.6844</v>
      </c>
      <c r="H11" s="31">
        <f>D11/G11</f>
        <v>1675.4519465768192</v>
      </c>
    </row>
    <row r="12" spans="1:8" ht="12.75">
      <c r="A12" s="5">
        <f>A13-1</f>
        <v>1998</v>
      </c>
      <c r="B12" s="32">
        <f>'Fitted Payment 24 mo'!B13</f>
        <v>218371.54499999998</v>
      </c>
      <c r="C12" s="17">
        <f>'Ult Paid Loss'!B9*1000</f>
        <v>91900</v>
      </c>
      <c r="D12" s="17">
        <f>B12-C12</f>
        <v>126471.54499999998</v>
      </c>
      <c r="E12" s="25">
        <f>'Ultimate Closed Claim'!I9</f>
        <v>139.2747984</v>
      </c>
      <c r="F12" s="25">
        <f>'Ultimate Closed Claim'!B9</f>
        <v>70</v>
      </c>
      <c r="G12" s="25">
        <f>E12-F12</f>
        <v>69.27479840000001</v>
      </c>
      <c r="H12" s="32">
        <f>D12/G12</f>
        <v>1825.650134262967</v>
      </c>
    </row>
    <row r="13" spans="1:8" ht="12.75">
      <c r="A13" s="5">
        <f>A14-1</f>
        <v>1999</v>
      </c>
      <c r="B13" s="32">
        <f>'Fitted Payment 24 mo'!B14</f>
        <v>276092.8155723568</v>
      </c>
      <c r="C13" s="17">
        <f>'Ult Paid Loss'!B10*1000</f>
        <v>115000</v>
      </c>
      <c r="D13" s="17">
        <f>B13-C13</f>
        <v>161092.8155723568</v>
      </c>
      <c r="E13" s="25">
        <f>'Ultimate Closed Claim'!I10</f>
        <v>160.39991476800003</v>
      </c>
      <c r="F13" s="25">
        <f>'Ultimate Closed Claim'!B10</f>
        <v>80</v>
      </c>
      <c r="G13" s="25">
        <f>E13-F13</f>
        <v>80.39991476800003</v>
      </c>
      <c r="H13" s="32">
        <f>D13/G13</f>
        <v>2003.6441087929281</v>
      </c>
    </row>
    <row r="14" spans="1:8" ht="12.75">
      <c r="A14" s="5">
        <f>curryear-1</f>
        <v>2000</v>
      </c>
      <c r="B14" s="32">
        <f>'Prior AY Ultimate'!F10</f>
        <v>349083.8639013649</v>
      </c>
      <c r="C14" s="17">
        <f>'Ult Paid Loss'!B11*1000</f>
        <v>146500</v>
      </c>
      <c r="D14" s="17">
        <f>B14-C14</f>
        <v>202583.8639013649</v>
      </c>
      <c r="E14" s="25">
        <f>'Ultimate Closed Claim'!I11</f>
        <v>185.32219372358404</v>
      </c>
      <c r="F14" s="25">
        <f>'Ultimate Closed Claim'!B11</f>
        <v>93</v>
      </c>
      <c r="G14" s="25">
        <f>E14-F14</f>
        <v>92.32219372358404</v>
      </c>
      <c r="H14" s="32">
        <f>D14/G14</f>
        <v>2194.313801813552</v>
      </c>
    </row>
    <row r="15" spans="1:8" ht="12.75">
      <c r="A15" s="5"/>
      <c r="B15" s="23"/>
      <c r="C15" s="23"/>
      <c r="D15" s="23"/>
      <c r="E15" s="23"/>
      <c r="F15" s="23"/>
      <c r="G15" s="23"/>
      <c r="H15" s="23"/>
    </row>
    <row r="16" spans="1:8" ht="12.75">
      <c r="A16" s="5"/>
      <c r="B16" s="23"/>
      <c r="C16" s="23"/>
      <c r="D16" s="23"/>
      <c r="E16" s="33" t="s">
        <v>112</v>
      </c>
      <c r="F16" s="34"/>
      <c r="G16" s="73">
        <f>curryear</f>
        <v>2001</v>
      </c>
      <c r="H16" s="35">
        <f>'Fitted Payment 12 mo'!G34</f>
        <v>2399.3509385704783</v>
      </c>
    </row>
    <row r="17" spans="1:8" ht="12.75">
      <c r="A17" s="5"/>
      <c r="B17" s="23"/>
      <c r="C17" s="23"/>
      <c r="D17" s="23"/>
      <c r="E17" s="23"/>
      <c r="F17" s="1"/>
      <c r="G17" s="1"/>
      <c r="H17" s="1"/>
    </row>
    <row r="18" spans="1:8" ht="12.75">
      <c r="A18" s="5"/>
      <c r="B18" s="70" t="s">
        <v>115</v>
      </c>
      <c r="C18" s="23" t="s">
        <v>118</v>
      </c>
      <c r="D18" s="71">
        <f>A14</f>
        <v>2000</v>
      </c>
      <c r="E18" s="1"/>
      <c r="F18" s="1"/>
      <c r="G18" s="1"/>
      <c r="H18" s="1"/>
    </row>
    <row r="19" spans="1:8" ht="12.75">
      <c r="A19" s="5"/>
      <c r="B19" s="23"/>
      <c r="C19" s="23" t="s">
        <v>116</v>
      </c>
      <c r="D19" s="21">
        <f>A13</f>
        <v>1999</v>
      </c>
      <c r="E19" s="1"/>
      <c r="F19" s="1"/>
      <c r="G19" s="1"/>
      <c r="H19" s="1"/>
    </row>
    <row r="20" spans="1:8" ht="12.75">
      <c r="A20" s="5"/>
      <c r="B20" s="23"/>
      <c r="C20" s="23" t="s">
        <v>117</v>
      </c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36"/>
      <c r="B22" s="23"/>
      <c r="C22" s="23"/>
      <c r="D22" s="23"/>
      <c r="E22" s="23"/>
      <c r="F22" s="23"/>
      <c r="G22" s="23"/>
      <c r="H22" s="23"/>
    </row>
    <row r="23" spans="1:8" ht="12.75">
      <c r="A23" s="1"/>
      <c r="B23" s="23"/>
      <c r="C23" s="23"/>
      <c r="D23" s="23"/>
      <c r="E23" s="23"/>
      <c r="F23" s="23"/>
      <c r="G23" s="23"/>
      <c r="H23" s="23"/>
    </row>
    <row r="24" spans="1:8" ht="12.75">
      <c r="A24" s="1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4" t="s">
        <v>48</v>
      </c>
      <c r="B26" s="24"/>
      <c r="C26" s="24"/>
      <c r="D26" s="3" t="s">
        <v>50</v>
      </c>
      <c r="H26" s="12"/>
    </row>
    <row r="27" spans="1:6" ht="12.75">
      <c r="A27" s="3" t="s">
        <v>44</v>
      </c>
      <c r="B27" s="3">
        <f>SLOPE('Fitted Payment 12 mo'!H11:H14,'Fitted Payment 12 mo'!A30:A33)</f>
        <v>173.4579540245235</v>
      </c>
      <c r="E27" s="3" t="s">
        <v>44</v>
      </c>
      <c r="F27" s="3">
        <f>SLOPE(E30:E33,D30:D33)</f>
        <v>180.3422480434041</v>
      </c>
    </row>
    <row r="28" spans="1:6" ht="12.75">
      <c r="A28" s="3" t="s">
        <v>45</v>
      </c>
      <c r="B28" s="3">
        <f>INTERCEPT('Fitted Payment 12 mo'!H11:H14,'Fitted Payment 12 mo'!A30:A33)</f>
        <v>-344730.95612014865</v>
      </c>
      <c r="E28" s="3" t="s">
        <v>45</v>
      </c>
      <c r="F28" s="3">
        <f>INTERCEPT(E30:E33,D30:D33)</f>
        <v>-1363.071031763713</v>
      </c>
    </row>
    <row r="29" spans="1:7" ht="12.75">
      <c r="A29" s="24"/>
      <c r="B29" s="24" t="s">
        <v>47</v>
      </c>
      <c r="C29" s="24"/>
      <c r="D29" s="3" t="s">
        <v>42</v>
      </c>
      <c r="E29" s="3" t="s">
        <v>43</v>
      </c>
      <c r="F29" s="3" t="s">
        <v>46</v>
      </c>
      <c r="G29" s="3" t="s">
        <v>49</v>
      </c>
    </row>
    <row r="30" spans="1:7" ht="12.75">
      <c r="A30" s="37">
        <f>'Fitted Payment 12 mo'!A11</f>
        <v>1997</v>
      </c>
      <c r="B30" s="24">
        <f>B$27*A30+B$28</f>
        <v>1664.5780668247608</v>
      </c>
      <c r="C30" s="24"/>
      <c r="D30" s="3">
        <f>LN(A30)</f>
        <v>7.599401333415815</v>
      </c>
      <c r="E30" s="3">
        <f>LN('Fitted Payment 12 mo'!H11)</f>
        <v>7.423838226716439</v>
      </c>
      <c r="F30" s="3">
        <f>F$27*D30+F$28</f>
        <v>7.422088488537838</v>
      </c>
      <c r="G30" s="3">
        <f>EXP(F30)</f>
        <v>1672.5229076124251</v>
      </c>
    </row>
    <row r="31" spans="1:7" ht="12.75">
      <c r="A31" s="37">
        <f>A30+1</f>
        <v>1998</v>
      </c>
      <c r="B31" s="24">
        <f>B$27*A31+B$28</f>
        <v>1838.0360208493075</v>
      </c>
      <c r="C31" s="24"/>
      <c r="D31" s="3">
        <f>LN(A31)</f>
        <v>7.599901959208498</v>
      </c>
      <c r="E31" s="3">
        <f>LN('Fitted Payment 12 mo'!H12)</f>
        <v>7.5096914405312285</v>
      </c>
      <c r="F31" s="3">
        <f>F$27*D31+F$28</f>
        <v>7.512372469418779</v>
      </c>
      <c r="G31" s="3">
        <f>EXP(F31)</f>
        <v>1830.5513221889148</v>
      </c>
    </row>
    <row r="32" spans="1:7" ht="12.75">
      <c r="A32" s="37">
        <f>A31+1</f>
        <v>1999</v>
      </c>
      <c r="B32" s="24">
        <f>B$27*A32+B$28</f>
        <v>2011.4939748738543</v>
      </c>
      <c r="C32" s="24"/>
      <c r="D32" s="3">
        <f>LN(A32)</f>
        <v>7.6004023345004</v>
      </c>
      <c r="E32" s="3">
        <f>LN('Fitted Payment 12 mo'!H13)</f>
        <v>7.6027228560110185</v>
      </c>
      <c r="F32" s="3">
        <f>F$27*D32+F$28</f>
        <v>7.602611274425726</v>
      </c>
      <c r="G32" s="3">
        <f>EXP(F32)</f>
        <v>2003.420551479579</v>
      </c>
    </row>
    <row r="33" spans="1:7" ht="12.75">
      <c r="A33" s="37">
        <f>A32+1</f>
        <v>2000</v>
      </c>
      <c r="B33" s="24">
        <f>B$27*A33+B$28</f>
        <v>2184.951928898343</v>
      </c>
      <c r="C33" s="24"/>
      <c r="D33" s="3">
        <f>LN(A33)</f>
        <v>7.600902459542082</v>
      </c>
      <c r="E33" s="3">
        <f>LN('Fitted Payment 12 mo'!H14)</f>
        <v>7.693624657870082</v>
      </c>
      <c r="F33" s="3">
        <f>F$27*D33+F$28</f>
        <v>7.692804948745561</v>
      </c>
      <c r="G33" s="3">
        <f>EXP(F33)</f>
        <v>2192.5158397717632</v>
      </c>
    </row>
    <row r="34" spans="1:7" ht="12.75">
      <c r="A34" s="37">
        <f>A33+1</f>
        <v>2001</v>
      </c>
      <c r="B34" s="24">
        <f>B$27*A34+B$28</f>
        <v>2358.4098829228897</v>
      </c>
      <c r="C34" s="24"/>
      <c r="D34" s="3">
        <f>LN(A34)</f>
        <v>7.601402334583733</v>
      </c>
      <c r="F34" s="3">
        <f>F$27*D34+F$28</f>
        <v>7.782953537497633</v>
      </c>
      <c r="G34" s="3">
        <f>EXP(F34)</f>
        <v>2399.3509385704783</v>
      </c>
    </row>
    <row r="37" ht="12.75">
      <c r="A3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421875" style="3" customWidth="1"/>
    <col min="2" max="2" width="11.00390625" style="3" bestFit="1" customWidth="1"/>
    <col min="3" max="3" width="9.140625" style="3" customWidth="1"/>
    <col min="4" max="5" width="11.00390625" style="3" bestFit="1" customWidth="1"/>
    <col min="6" max="6" width="10.57421875" style="3" bestFit="1" customWidth="1"/>
    <col min="7" max="16384" width="9.140625" style="3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105</v>
      </c>
      <c r="B2" s="2"/>
      <c r="C2" s="2"/>
      <c r="D2" s="2"/>
      <c r="E2" s="2"/>
      <c r="F2" s="2">
        <f>curryear</f>
        <v>2001</v>
      </c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0" t="s">
        <v>39</v>
      </c>
      <c r="B5" s="21" t="s">
        <v>92</v>
      </c>
      <c r="C5" s="2"/>
      <c r="D5" s="2"/>
      <c r="E5" s="2"/>
      <c r="F5" s="22">
        <f>'Fitted Payment 12 mo'!H16</f>
        <v>2399.3509385704783</v>
      </c>
    </row>
    <row r="6" spans="1:5" ht="12.75">
      <c r="A6" s="20" t="s">
        <v>51</v>
      </c>
      <c r="B6" s="21" t="s">
        <v>88</v>
      </c>
      <c r="C6" s="2"/>
      <c r="D6" s="2"/>
      <c r="E6" s="2"/>
    </row>
    <row r="7" spans="1:6" ht="12.75">
      <c r="A7" s="23"/>
      <c r="B7" s="1" t="s">
        <v>63</v>
      </c>
      <c r="C7" s="1"/>
      <c r="D7" s="1"/>
      <c r="E7" s="1"/>
      <c r="F7" s="24">
        <f>'Ultimate Closed Claim'!I12-'Ultimate Closed Claim'!B12</f>
        <v>104.98737778032003</v>
      </c>
    </row>
    <row r="8" spans="1:6" ht="12.75">
      <c r="A8" s="20" t="s">
        <v>53</v>
      </c>
      <c r="B8" s="21" t="s">
        <v>54</v>
      </c>
      <c r="C8" s="2"/>
      <c r="D8" s="2"/>
      <c r="E8" s="2"/>
      <c r="F8" s="16">
        <f>F5*F7</f>
        <v>251901.56341526425</v>
      </c>
    </row>
    <row r="9" spans="1:6" ht="12.75">
      <c r="A9" s="20" t="s">
        <v>55</v>
      </c>
      <c r="B9" s="21" t="s">
        <v>89</v>
      </c>
      <c r="C9" s="23"/>
      <c r="D9" s="23"/>
      <c r="E9" s="23"/>
      <c r="F9" s="16">
        <f>'Ult Paid Loss'!B12*1000</f>
        <v>181100</v>
      </c>
    </row>
    <row r="10" spans="1:6" ht="12.75">
      <c r="A10" s="20" t="s">
        <v>56</v>
      </c>
      <c r="B10" s="21" t="s">
        <v>57</v>
      </c>
      <c r="C10" s="23"/>
      <c r="D10" s="23"/>
      <c r="E10" s="23"/>
      <c r="F10" s="16">
        <f>F8+F9</f>
        <v>433001.56341526425</v>
      </c>
    </row>
    <row r="11" spans="1:6" ht="12.75">
      <c r="A11" s="23"/>
      <c r="B11" s="23"/>
      <c r="C11" s="23"/>
      <c r="D11" s="23"/>
      <c r="E11" s="23"/>
      <c r="F11" s="16"/>
    </row>
    <row r="12" spans="1:6" ht="12.75">
      <c r="A12" s="1"/>
      <c r="B12" s="1"/>
      <c r="C12" s="1"/>
      <c r="D12" s="1"/>
      <c r="E12" s="1"/>
      <c r="F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1" sqref="A11"/>
    </sheetView>
  </sheetViews>
  <sheetFormatPr defaultColWidth="9.140625" defaultRowHeight="12.75"/>
  <cols>
    <col min="1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64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3</v>
      </c>
      <c r="B5" s="8" t="s">
        <v>65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</row>
    <row r="6" spans="1:8" ht="12.75">
      <c r="A6" s="5">
        <f aca="true" t="shared" si="0" ref="A6:A11">A7-1</f>
        <v>1995</v>
      </c>
      <c r="B6" s="9">
        <f>'Pd Loss Triangle'!B6</f>
        <v>50</v>
      </c>
      <c r="C6" s="9">
        <f>'Pd Loss Triangle'!C6-'Pd Loss Triangle'!B6</f>
        <v>30</v>
      </c>
      <c r="D6" s="9">
        <f>'Pd Loss Triangle'!D6-'Pd Loss Triangle'!C6</f>
        <v>18.200000000000003</v>
      </c>
      <c r="E6" s="9">
        <f>'Pd Loss Triangle'!E6-'Pd Loss Triangle'!D6</f>
        <v>9.599999999999994</v>
      </c>
      <c r="F6" s="9">
        <f>'Pd Loss Triangle'!F6-'Pd Loss Triangle'!E6</f>
        <v>5.400000000000006</v>
      </c>
      <c r="G6" s="9">
        <f>'Pd Loss Triangle'!G6-'Pd Loss Triangle'!F6</f>
        <v>4</v>
      </c>
      <c r="H6" s="9">
        <f>'Pd Loss Triangle'!H6-'Pd Loss Triangle'!G6</f>
        <v>2.5</v>
      </c>
    </row>
    <row r="7" spans="1:8" ht="12.75">
      <c r="A7" s="5">
        <f t="shared" si="0"/>
        <v>1996</v>
      </c>
      <c r="B7" s="10">
        <f>'Pd Loss Triangle'!B7</f>
        <v>60.2</v>
      </c>
      <c r="C7" s="10">
        <f>'Pd Loss Triangle'!C7-'Pd Loss Triangle'!B7</f>
        <v>36.8</v>
      </c>
      <c r="D7" s="10">
        <f>'Pd Loss Triangle'!D7-'Pd Loss Triangle'!C7</f>
        <v>21.5</v>
      </c>
      <c r="E7" s="10">
        <f>'Pd Loss Triangle'!E7-'Pd Loss Triangle'!D7</f>
        <v>12.199999999999989</v>
      </c>
      <c r="F7" s="10">
        <f>'Pd Loss Triangle'!F7-'Pd Loss Triangle'!E7</f>
        <v>5.900000000000006</v>
      </c>
      <c r="G7" s="10">
        <f>'Pd Loss Triangle'!G7-'Pd Loss Triangle'!F7</f>
        <v>4.400000000000006</v>
      </c>
      <c r="H7" s="11"/>
    </row>
    <row r="8" spans="1:8" ht="12.75">
      <c r="A8" s="5">
        <f t="shared" si="0"/>
        <v>1997</v>
      </c>
      <c r="B8" s="10">
        <f>'Pd Loss Triangle'!B8</f>
        <v>75.5</v>
      </c>
      <c r="C8" s="10">
        <f>'Pd Loss Triangle'!C8-'Pd Loss Triangle'!B8</f>
        <v>44.599999999999994</v>
      </c>
      <c r="D8" s="10">
        <f>'Pd Loss Triangle'!D8-'Pd Loss Triangle'!C8</f>
        <v>26.900000000000006</v>
      </c>
      <c r="E8" s="10">
        <f>'Pd Loss Triangle'!E8-'Pd Loss Triangle'!D8</f>
        <v>15.400000000000006</v>
      </c>
      <c r="F8" s="10">
        <f>'Pd Loss Triangle'!F8-'Pd Loss Triangle'!E8</f>
        <v>8.599999999999994</v>
      </c>
      <c r="G8" s="10"/>
      <c r="H8" s="11"/>
    </row>
    <row r="9" spans="1:8" ht="12.75">
      <c r="A9" s="5">
        <f t="shared" si="0"/>
        <v>1998</v>
      </c>
      <c r="B9" s="10">
        <f>'Pd Loss Triangle'!B9</f>
        <v>91.9</v>
      </c>
      <c r="C9" s="10">
        <f>'Pd Loss Triangle'!C9-'Pd Loss Triangle'!B9</f>
        <v>55.19999999999999</v>
      </c>
      <c r="D9" s="10">
        <f>'Pd Loss Triangle'!D9-'Pd Loss Triangle'!C9</f>
        <v>33.099999999999994</v>
      </c>
      <c r="E9" s="10">
        <f>'Pd Loss Triangle'!E9-'Pd Loss Triangle'!D9</f>
        <v>16.80000000000001</v>
      </c>
      <c r="F9" s="10"/>
      <c r="G9" s="10"/>
      <c r="H9" s="11"/>
    </row>
    <row r="10" spans="1:8" ht="12.75">
      <c r="A10" s="5">
        <f t="shared" si="0"/>
        <v>1999</v>
      </c>
      <c r="B10" s="10">
        <f>'Pd Loss Triangle'!B10</f>
        <v>115</v>
      </c>
      <c r="C10" s="10">
        <f>'Pd Loss Triangle'!C10-'Pd Loss Triangle'!B10</f>
        <v>69.1</v>
      </c>
      <c r="D10" s="10">
        <f>'Pd Loss Triangle'!D10-'Pd Loss Triangle'!C10</f>
        <v>42.30000000000001</v>
      </c>
      <c r="E10" s="10"/>
      <c r="F10" s="10"/>
      <c r="G10" s="10"/>
      <c r="H10" s="11"/>
    </row>
    <row r="11" spans="1:8" ht="12.75">
      <c r="A11" s="5">
        <f t="shared" si="0"/>
        <v>2000</v>
      </c>
      <c r="B11" s="10">
        <f>'Pd Loss Triangle'!B11</f>
        <v>146.5</v>
      </c>
      <c r="C11" s="10">
        <f>'Pd Loss Triangle'!C11-'Pd Loss Triangle'!B11</f>
        <v>86.9</v>
      </c>
      <c r="D11" s="10"/>
      <c r="E11" s="10"/>
      <c r="F11" s="10"/>
      <c r="G11" s="10"/>
      <c r="H11" s="11"/>
    </row>
    <row r="12" spans="1:8" ht="12.75">
      <c r="A12" s="5">
        <f>curryear</f>
        <v>2001</v>
      </c>
      <c r="B12" s="10">
        <f>'Pd Loss Triangle'!B12</f>
        <v>181.1</v>
      </c>
      <c r="C12" s="10"/>
      <c r="D12" s="10"/>
      <c r="E12" s="10"/>
      <c r="F12" s="10"/>
      <c r="G12" s="10"/>
      <c r="H12" s="11"/>
    </row>
    <row r="13" spans="1:8" ht="12.75">
      <c r="A13" s="5"/>
      <c r="B13" s="1"/>
      <c r="C13" s="1"/>
      <c r="D13" s="1"/>
      <c r="E13" s="1"/>
      <c r="F13" s="1"/>
      <c r="G13" s="1"/>
      <c r="H13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1" sqref="A11"/>
    </sheetView>
  </sheetViews>
  <sheetFormatPr defaultColWidth="9.140625" defaultRowHeight="12.75"/>
  <cols>
    <col min="1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66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3</v>
      </c>
      <c r="B5" s="8" t="s">
        <v>65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</row>
    <row r="6" spans="1:8" ht="12.75">
      <c r="A6" s="5">
        <f aca="true" t="shared" si="0" ref="A6:A11">A7-1</f>
        <v>1995</v>
      </c>
      <c r="B6" s="17">
        <f>'Incremental Paid'!B6/'Ultimate Closed Claim'!$I6*1000</f>
        <v>500</v>
      </c>
      <c r="C6" s="17">
        <f>'Incremental Paid'!C6/'Ultimate Closed Claim'!$I6*1000</f>
        <v>300</v>
      </c>
      <c r="D6" s="17">
        <f>'Incremental Paid'!D6/'Ultimate Closed Claim'!$I6*1000</f>
        <v>182.00000000000003</v>
      </c>
      <c r="E6" s="17">
        <f>'Incremental Paid'!E6/'Ultimate Closed Claim'!$I6*1000</f>
        <v>95.99999999999994</v>
      </c>
      <c r="F6" s="17">
        <f>'Incremental Paid'!F6/'Ultimate Closed Claim'!$I6*1000</f>
        <v>54.00000000000006</v>
      </c>
      <c r="G6" s="17">
        <f>'Incremental Paid'!G6/'Ultimate Closed Claim'!$I6*1000</f>
        <v>40</v>
      </c>
      <c r="H6" s="17">
        <f>'Incremental Paid'!H6/'Ultimate Closed Claim'!$I6*1000</f>
        <v>25</v>
      </c>
    </row>
    <row r="7" spans="1:8" ht="12.75">
      <c r="A7" s="5">
        <f t="shared" si="0"/>
        <v>1996</v>
      </c>
      <c r="B7" s="17">
        <f>'Incremental Paid'!B7/'Ultimate Closed Claim'!$I7*1000</f>
        <v>546.8253247343083</v>
      </c>
      <c r="C7" s="17">
        <f>'Incremental Paid'!C7/'Ultimate Closed Claim'!$I7*1000</f>
        <v>334.2719593060223</v>
      </c>
      <c r="D7" s="17">
        <f>'Incremental Paid'!D7/'Ultimate Closed Claim'!$I7*1000</f>
        <v>195.29475883368153</v>
      </c>
      <c r="E7" s="17">
        <f>'Incremental Paid'!E7/'Ultimate Closed Claim'!$I7*1000</f>
        <v>110.81842129167035</v>
      </c>
      <c r="F7" s="17">
        <f>'Incremental Paid'!F7/'Ultimate Closed Claim'!$I7*1000</f>
        <v>53.59251521482428</v>
      </c>
      <c r="G7" s="17">
        <f>'Incremental Paid'!G7/'Ultimate Closed Claim'!$I7*1000</f>
        <v>39.967299482241856</v>
      </c>
      <c r="H7" s="11"/>
    </row>
    <row r="8" spans="1:8" ht="12.75">
      <c r="A8" s="5">
        <f t="shared" si="0"/>
        <v>1997</v>
      </c>
      <c r="B8" s="17">
        <f>'Incremental Paid'!B8/'Ultimate Closed Claim'!$I8*1000</f>
        <v>600.7109872028668</v>
      </c>
      <c r="C8" s="17">
        <f>'Incremental Paid'!C8/'Ultimate Closed Claim'!$I8*1000</f>
        <v>354.8570864801041</v>
      </c>
      <c r="D8" s="17">
        <f>'Incremental Paid'!D8/'Ultimate Closed Claim'!$I8*1000</f>
        <v>214.02815305638572</v>
      </c>
      <c r="E8" s="17">
        <f>'Incremental Paid'!E8/'Ultimate Closed Claim'!$I8*1000</f>
        <v>122.5291285155517</v>
      </c>
      <c r="F8" s="17">
        <f>'Incremental Paid'!F8/'Ultimate Closed Claim'!$I8*1000</f>
        <v>68.42535748271061</v>
      </c>
      <c r="G8" s="17"/>
      <c r="H8" s="11"/>
    </row>
    <row r="9" spans="1:8" ht="12.75">
      <c r="A9" s="5">
        <f t="shared" si="0"/>
        <v>1998</v>
      </c>
      <c r="B9" s="17">
        <f>'Incremental Paid'!B9/'Ultimate Closed Claim'!$I9*1000</f>
        <v>659.8465842762262</v>
      </c>
      <c r="C9" s="17">
        <f>'Incremental Paid'!C9/'Ultimate Closed Claim'!$I9*1000</f>
        <v>396.33875355873414</v>
      </c>
      <c r="D9" s="17">
        <f>'Incremental Paid'!D9/'Ultimate Closed Claim'!$I9*1000</f>
        <v>237.65965113757431</v>
      </c>
      <c r="E9" s="17">
        <f>'Incremental Paid'!E9/'Ultimate Closed Claim'!$I9*1000</f>
        <v>120.62483803961486</v>
      </c>
      <c r="F9" s="17"/>
      <c r="G9" s="17"/>
      <c r="H9" s="11"/>
    </row>
    <row r="10" spans="1:8" ht="12.75">
      <c r="A10" s="5">
        <f t="shared" si="0"/>
        <v>1999</v>
      </c>
      <c r="B10" s="17">
        <f>'Incremental Paid'!B10/'Ultimate Closed Claim'!$I10*1000</f>
        <v>716.9579869561293</v>
      </c>
      <c r="C10" s="17">
        <f>'Incremental Paid'!C10/'Ultimate Closed Claim'!$I10*1000</f>
        <v>430.79823390146544</v>
      </c>
      <c r="D10" s="17">
        <f>'Incremental Paid'!D10/'Ultimate Closed Claim'!$I10*1000</f>
        <v>263.715850854298</v>
      </c>
      <c r="E10" s="17"/>
      <c r="F10" s="17"/>
      <c r="G10" s="17"/>
      <c r="H10" s="11"/>
    </row>
    <row r="11" spans="1:8" ht="12.75">
      <c r="A11" s="5">
        <f t="shared" si="0"/>
        <v>2000</v>
      </c>
      <c r="B11" s="17">
        <f>'Incremental Paid'!B11/'Ultimate Closed Claim'!$I11*1000</f>
        <v>790.5151404505334</v>
      </c>
      <c r="C11" s="17">
        <f>'Incremental Paid'!C11/'Ultimate Closed Claim'!$I11*1000</f>
        <v>468.9130764856748</v>
      </c>
      <c r="D11" s="17"/>
      <c r="E11" s="17"/>
      <c r="F11" s="17"/>
      <c r="G11" s="17"/>
      <c r="H11" s="11"/>
    </row>
    <row r="12" spans="1:8" ht="12.75">
      <c r="A12" s="5">
        <f>curryear</f>
        <v>2001</v>
      </c>
      <c r="B12" s="17">
        <f>'Incremental Paid'!B12/'Ultimate Closed Claim'!$I12*1000</f>
        <v>862.4327896006168</v>
      </c>
      <c r="C12" s="17"/>
      <c r="D12" s="17"/>
      <c r="E12" s="17"/>
      <c r="F12" s="17"/>
      <c r="G12" s="17"/>
      <c r="H12" s="11"/>
    </row>
    <row r="13" spans="1:8" ht="12.75">
      <c r="A13" s="5"/>
      <c r="B13" s="1"/>
      <c r="C13" s="1"/>
      <c r="D13" s="1"/>
      <c r="E13" s="1"/>
      <c r="F13" s="1"/>
      <c r="G13" s="1"/>
      <c r="H13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3" bestFit="1" customWidth="1"/>
    <col min="2" max="2" width="9.140625" style="3" customWidth="1"/>
    <col min="3" max="3" width="3.57421875" style="3" customWidth="1"/>
    <col min="4" max="4" width="6.28125" style="3" bestFit="1" customWidth="1"/>
    <col min="5" max="16384" width="9.140625" style="3" customWidth="1"/>
  </cols>
  <sheetData>
    <row r="1" spans="1:9" ht="12.7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4"/>
      <c r="B2" s="2" t="s">
        <v>66</v>
      </c>
      <c r="C2" s="2"/>
      <c r="D2" s="2"/>
      <c r="E2" s="2"/>
      <c r="F2" s="2"/>
      <c r="G2" s="2"/>
      <c r="H2" s="2"/>
      <c r="I2" s="2"/>
    </row>
    <row r="3" spans="1:9" ht="12.75">
      <c r="A3" s="5"/>
      <c r="B3" s="1"/>
      <c r="C3" s="1"/>
      <c r="D3" s="1"/>
      <c r="E3" s="1"/>
      <c r="F3" s="1"/>
      <c r="G3" s="1"/>
      <c r="H3" s="1"/>
      <c r="I3" s="1"/>
    </row>
    <row r="4" spans="1:9" ht="12.75">
      <c r="A4" s="5" t="s">
        <v>119</v>
      </c>
      <c r="B4" s="6" t="s">
        <v>5</v>
      </c>
      <c r="C4" s="6"/>
      <c r="D4" s="6"/>
      <c r="E4" s="6"/>
      <c r="F4" s="6"/>
      <c r="G4" s="6"/>
      <c r="H4" s="6"/>
      <c r="I4" s="6"/>
    </row>
    <row r="5" spans="1:9" ht="12.75">
      <c r="A5" s="7" t="s">
        <v>120</v>
      </c>
      <c r="B5" s="8" t="s">
        <v>65</v>
      </c>
      <c r="C5" s="8"/>
      <c r="D5" s="13" t="s">
        <v>7</v>
      </c>
      <c r="E5" s="13" t="s">
        <v>8</v>
      </c>
      <c r="F5" s="13" t="s">
        <v>9</v>
      </c>
      <c r="G5" s="14" t="s">
        <v>10</v>
      </c>
      <c r="H5" s="14" t="s">
        <v>11</v>
      </c>
      <c r="I5" s="14" t="s">
        <v>12</v>
      </c>
    </row>
    <row r="6" spans="1:9" ht="12.75">
      <c r="A6" s="5">
        <f>A7-1</f>
        <v>1996</v>
      </c>
      <c r="B6" s="15">
        <f>'Incremental Paid per Claim'!B7/'Incremental Paid per Claim'!B6-1</f>
        <v>0.09365064946861668</v>
      </c>
      <c r="C6" s="15"/>
      <c r="D6" s="15">
        <f>'Incremental Paid per Claim'!C7/'Incremental Paid per Claim'!C6-1</f>
        <v>0.11423986435340772</v>
      </c>
      <c r="E6" s="15">
        <f>'Incremental Paid per Claim'!D7/'Incremental Paid per Claim'!D6-1</f>
        <v>0.07304812545978834</v>
      </c>
      <c r="F6" s="15">
        <f>'Incremental Paid per Claim'!E7/'Incremental Paid per Claim'!E6-1</f>
        <v>0.1543585551215667</v>
      </c>
      <c r="G6" s="15">
        <f>'Incremental Paid per Claim'!F7/'Incremental Paid per Claim'!F6-1</f>
        <v>-0.007546014540292134</v>
      </c>
      <c r="H6" s="15">
        <f>'Incremental Paid per Claim'!G7/'Incremental Paid per Claim'!G6-1</f>
        <v>-0.0008175129439536022</v>
      </c>
      <c r="I6" s="16"/>
    </row>
    <row r="7" spans="1:9" ht="12.75">
      <c r="A7" s="5">
        <f>A8-1</f>
        <v>1997</v>
      </c>
      <c r="B7" s="15">
        <f>'Incremental Paid per Claim'!B8/'Incremental Paid per Claim'!B7-1</f>
        <v>0.09854273390637225</v>
      </c>
      <c r="C7" s="15"/>
      <c r="D7" s="18">
        <f>'Incremental Paid per Claim'!C8/'Incremental Paid per Claim'!C7-1</f>
        <v>0.061581974200942025</v>
      </c>
      <c r="E7" s="15">
        <f>'Incremental Paid per Claim'!D8/'Incremental Paid per Claim'!D7-1</f>
        <v>0.09592369162686065</v>
      </c>
      <c r="F7" s="15">
        <f>'Incremental Paid per Claim'!E8/'Incremental Paid per Claim'!E7-1</f>
        <v>0.10567473428500818</v>
      </c>
      <c r="G7" s="15">
        <f>'Incremental Paid per Claim'!F8/'Incremental Paid per Claim'!F7-1</f>
        <v>0.2767707805545092</v>
      </c>
      <c r="H7" s="17"/>
      <c r="I7" s="11"/>
    </row>
    <row r="8" spans="1:9" ht="12.75">
      <c r="A8" s="5">
        <f>A9-1</f>
        <v>1998</v>
      </c>
      <c r="B8" s="15">
        <f>'Incremental Paid per Claim'!B9/'Incremental Paid per Claim'!B8-1</f>
        <v>0.09844267598419765</v>
      </c>
      <c r="C8" s="15"/>
      <c r="D8" s="15">
        <f>'Incremental Paid per Claim'!C9/'Incremental Paid per Claim'!C8-1</f>
        <v>0.11689682595913387</v>
      </c>
      <c r="E8" s="15">
        <f>'Incremental Paid per Claim'!D9/'Incremental Paid per Claim'!D8-1</f>
        <v>0.1104130355923918</v>
      </c>
      <c r="F8" s="15">
        <f>'Incremental Paid per Claim'!E9/'Incremental Paid per Claim'!E8-1</f>
        <v>-0.015541532850249173</v>
      </c>
      <c r="G8" s="17"/>
      <c r="H8" s="17"/>
      <c r="I8" s="11"/>
    </row>
    <row r="9" spans="1:9" ht="12.75">
      <c r="A9" s="5">
        <f>A10-1</f>
        <v>1999</v>
      </c>
      <c r="B9" s="15">
        <f>'Incremental Paid per Claim'!B10/'Incremental Paid per Claim'!B9-1</f>
        <v>0.08655254727513295</v>
      </c>
      <c r="C9" s="15"/>
      <c r="D9" s="15">
        <f>'Incremental Paid per Claim'!C10/'Incremental Paid per Claim'!C9-1</f>
        <v>0.08694451408881632</v>
      </c>
      <c r="E9" s="15">
        <f>'Incremental Paid per Claim'!D10/'Incremental Paid per Claim'!D9-1</f>
        <v>0.1096366151847985</v>
      </c>
      <c r="F9" s="17"/>
      <c r="G9" s="17"/>
      <c r="H9" s="17"/>
      <c r="I9" s="11"/>
    </row>
    <row r="10" spans="1:9" ht="12.75">
      <c r="A10" s="5">
        <f>A11-1</f>
        <v>2000</v>
      </c>
      <c r="B10" s="15">
        <f>'Incremental Paid per Claim'!B11/'Incremental Paid per Claim'!B10-1</f>
        <v>0.1025961839224272</v>
      </c>
      <c r="C10" s="15"/>
      <c r="D10" s="15">
        <f>'Incremental Paid per Claim'!C11/'Incremental Paid per Claim'!C10-1</f>
        <v>0.08847492766863851</v>
      </c>
      <c r="E10" s="17"/>
      <c r="F10" s="17"/>
      <c r="G10" s="17"/>
      <c r="H10" s="17"/>
      <c r="I10" s="11"/>
    </row>
    <row r="11" spans="1:9" ht="12.75">
      <c r="A11" s="5">
        <f>curryear</f>
        <v>2001</v>
      </c>
      <c r="B11" s="15">
        <f>'Incremental Paid per Claim'!B12/'Incremental Paid per Claim'!B11-1</f>
        <v>0.09097567582209232</v>
      </c>
      <c r="C11" s="15"/>
      <c r="D11" s="17"/>
      <c r="E11" s="17"/>
      <c r="F11" s="17"/>
      <c r="G11" s="17"/>
      <c r="H11" s="17"/>
      <c r="I11" s="11"/>
    </row>
    <row r="12" spans="1:9" ht="8.25" customHeight="1" thickBot="1">
      <c r="A12" s="5"/>
      <c r="B12" s="15"/>
      <c r="C12" s="15"/>
      <c r="D12" s="17"/>
      <c r="E12" s="17"/>
      <c r="F12" s="17"/>
      <c r="G12" s="17"/>
      <c r="H12" s="17"/>
      <c r="I12" s="11"/>
    </row>
    <row r="13" spans="1:9" ht="14.25" thickBot="1" thickTop="1">
      <c r="A13" s="56" t="s">
        <v>67</v>
      </c>
      <c r="B13" s="57">
        <v>0.09</v>
      </c>
      <c r="C13" s="57"/>
      <c r="D13" s="57">
        <v>0.09</v>
      </c>
      <c r="E13" s="57">
        <v>0.09</v>
      </c>
      <c r="F13" s="57">
        <v>0.09</v>
      </c>
      <c r="G13" s="57">
        <v>0.09</v>
      </c>
      <c r="H13" s="57">
        <v>0.09</v>
      </c>
      <c r="I13" s="58">
        <v>0.09</v>
      </c>
    </row>
    <row r="14" spans="1:9" ht="13.5" thickTop="1">
      <c r="A14" s="5"/>
      <c r="B14" s="1"/>
      <c r="C14" s="1"/>
      <c r="D14" s="1"/>
      <c r="E14" s="1"/>
      <c r="F14" s="1"/>
      <c r="G14" s="1"/>
      <c r="H14" s="1"/>
      <c r="I14" s="1"/>
    </row>
    <row r="15" spans="1:2" ht="12.75">
      <c r="A15" s="18">
        <f>D7</f>
        <v>0.061581974200942025</v>
      </c>
      <c r="B15" s="19" t="s">
        <v>70</v>
      </c>
    </row>
    <row r="16" ht="12.75">
      <c r="B16" s="75" t="str">
        <f>"= Slide 51 ("&amp;A7&amp;") / Slide 51 ("&amp;A6&amp;") - 1"</f>
        <v>= Slide 51 (1997) / Slide 51 (1996) - 1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ht="12.75">
      <c r="I31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8.28125" style="3" bestFit="1" customWidth="1"/>
    <col min="2" max="8" width="6.421875" style="3" customWidth="1"/>
    <col min="9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71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3</v>
      </c>
      <c r="B5" s="8" t="s">
        <v>65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</row>
    <row r="6" spans="1:8" ht="12.75">
      <c r="A6" s="5">
        <f aca="true" t="shared" si="0" ref="A6:A11">A7-1</f>
        <v>1995</v>
      </c>
      <c r="B6" s="17"/>
      <c r="C6" s="17">
        <f>'Incremental Paid per Claim'!C6*(1+'Incremental Paid Trend Factors'!D$13)^6</f>
        <v>503.13003325230017</v>
      </c>
      <c r="D6" s="17">
        <f>'Incremental Paid per Claim'!D6*(1+'Incremental Paid Trend Factors'!E$13)^5</f>
        <v>280.0295597918001</v>
      </c>
      <c r="E6" s="17">
        <f>'Incremental Paid per Claim'!E6*(1+'Incremental Paid Trend Factors'!F$13)^4</f>
        <v>135.51183455999995</v>
      </c>
      <c r="F6" s="17">
        <f>'Incremental Paid per Claim'!F6*(1+'Incremental Paid Trend Factors'!G$13)^3</f>
        <v>69.93156600000009</v>
      </c>
      <c r="G6" s="17">
        <f>'Incremental Paid per Claim'!G6*(1+'Incremental Paid Trend Factors'!H$13)^2</f>
        <v>47.52400000000001</v>
      </c>
      <c r="H6" s="17">
        <f>'Incremental Paid per Claim'!H6*(1+'Incremental Paid Trend Factors'!I$13)^1</f>
        <v>27.250000000000004</v>
      </c>
    </row>
    <row r="7" spans="1:8" ht="12.75">
      <c r="A7" s="5">
        <f t="shared" si="0"/>
        <v>1996</v>
      </c>
      <c r="B7" s="17"/>
      <c r="C7" s="54">
        <f>'Incremental Paid per Claim'!C7*(1+'Incremental Paid Trend Factors'!D$13)^5</f>
        <v>514.3188440396041</v>
      </c>
      <c r="D7" s="17">
        <f>'Incremental Paid per Claim'!D7*(1+'Incremental Paid Trend Factors'!E$13)^4</f>
        <v>275.67449009901</v>
      </c>
      <c r="E7" s="17">
        <f>'Incremental Paid per Claim'!E7*(1+'Incremental Paid Trend Factors'!F$13)^3</f>
        <v>143.5130693069306</v>
      </c>
      <c r="F7" s="17">
        <f>'Incremental Paid per Claim'!F7*(1+'Incremental Paid Trend Factors'!G$13)^2</f>
        <v>63.673267326732734</v>
      </c>
      <c r="G7" s="17">
        <f>'Incremental Paid per Claim'!G7*(1+'Incremental Paid Trend Factors'!H$13)^1</f>
        <v>43.564356435643624</v>
      </c>
      <c r="H7" s="11"/>
    </row>
    <row r="8" spans="1:8" ht="12.75">
      <c r="A8" s="5">
        <f t="shared" si="0"/>
        <v>1997</v>
      </c>
      <c r="B8" s="17"/>
      <c r="C8" s="17">
        <f>'Incremental Paid per Claim'!C8*(1+'Incremental Paid Trend Factors'!D$13)^4</f>
        <v>500.9097374534947</v>
      </c>
      <c r="D8" s="17">
        <f>'Incremental Paid per Claim'!D8*(1+'Incremental Paid Trend Factors'!E$13)^3</f>
        <v>277.1726650244582</v>
      </c>
      <c r="E8" s="17">
        <f>'Incremental Paid per Claim'!E8*(1+'Incremental Paid Trend Factors'!F$13)^2</f>
        <v>145.576857589327</v>
      </c>
      <c r="F8" s="17">
        <f>'Incremental Paid per Claim'!F8*(1+'Incremental Paid Trend Factors'!G$13)^1</f>
        <v>74.58363965615457</v>
      </c>
      <c r="G8" s="17"/>
      <c r="H8" s="11"/>
    </row>
    <row r="9" spans="1:8" ht="12.75">
      <c r="A9" s="5">
        <f t="shared" si="0"/>
        <v>1998</v>
      </c>
      <c r="B9" s="17"/>
      <c r="C9" s="17">
        <f>'Incremental Paid per Claim'!C9*(1+'Incremental Paid Trend Factors'!D$13)^3</f>
        <v>513.270179682414</v>
      </c>
      <c r="D9" s="17">
        <f>'Incremental Paid per Claim'!D9*(1+'Incremental Paid Trend Factors'!E$13)^2</f>
        <v>282.36343151655205</v>
      </c>
      <c r="E9" s="17">
        <f>'Incremental Paid per Claim'!E9*(1+'Incremental Paid Trend Factors'!F$13)^1</f>
        <v>131.4810734631802</v>
      </c>
      <c r="F9" s="17"/>
      <c r="G9" s="17"/>
      <c r="H9" s="11"/>
    </row>
    <row r="10" spans="1:8" ht="12.75">
      <c r="A10" s="5">
        <f t="shared" si="0"/>
        <v>1999</v>
      </c>
      <c r="B10" s="17"/>
      <c r="C10" s="17">
        <f>'Incremental Paid per Claim'!C10*(1+'Incremental Paid Trend Factors'!D$13)^2</f>
        <v>511.83138169833114</v>
      </c>
      <c r="D10" s="17">
        <f>'Incremental Paid per Claim'!D10*(1+'Incremental Paid Trend Factors'!E$13)^1</f>
        <v>287.4502774311849</v>
      </c>
      <c r="E10" s="17"/>
      <c r="F10" s="17"/>
      <c r="G10" s="17"/>
      <c r="H10" s="11"/>
    </row>
    <row r="11" spans="1:8" ht="12.75">
      <c r="A11" s="5">
        <f t="shared" si="0"/>
        <v>2000</v>
      </c>
      <c r="B11" s="17"/>
      <c r="C11" s="17">
        <f>'Incremental Paid per Claim'!C11*(1+'Incremental Paid Trend Factors'!D$13)^1</f>
        <v>511.1152533693856</v>
      </c>
      <c r="D11" s="17"/>
      <c r="E11" s="17"/>
      <c r="F11" s="17"/>
      <c r="G11" s="17"/>
      <c r="H11" s="11"/>
    </row>
    <row r="12" spans="1:8" ht="12.75" customHeight="1" thickBot="1">
      <c r="A12" s="5">
        <f>curryear</f>
        <v>2001</v>
      </c>
      <c r="B12" s="17"/>
      <c r="C12" s="17"/>
      <c r="D12" s="17"/>
      <c r="E12" s="17"/>
      <c r="F12" s="17"/>
      <c r="G12" s="17"/>
      <c r="H12" s="11"/>
    </row>
    <row r="13" spans="1:8" ht="14.25" thickBot="1" thickTop="1">
      <c r="A13" s="56" t="s">
        <v>67</v>
      </c>
      <c r="B13" s="59" t="s">
        <v>72</v>
      </c>
      <c r="C13" s="60">
        <v>510</v>
      </c>
      <c r="D13" s="60">
        <v>280</v>
      </c>
      <c r="E13" s="60">
        <v>140</v>
      </c>
      <c r="F13" s="60">
        <v>70</v>
      </c>
      <c r="G13" s="60">
        <v>46</v>
      </c>
      <c r="H13" s="61">
        <v>27</v>
      </c>
    </row>
    <row r="14" ht="13.5" thickTop="1"/>
    <row r="15" spans="1:2" ht="12.75">
      <c r="A15" s="54">
        <f>C7</f>
        <v>514.3188440396041</v>
      </c>
      <c r="B15" s="19" t="s">
        <v>103</v>
      </c>
    </row>
    <row r="16" ht="12.75">
      <c r="B16" s="19" t="s">
        <v>73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ht="12.75">
      <c r="I31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8.28125" style="3" bestFit="1" customWidth="1"/>
    <col min="2" max="2" width="6.421875" style="3" customWidth="1"/>
    <col min="3" max="9" width="7.7109375" style="3" customWidth="1"/>
    <col min="10" max="16384" width="9.140625" style="3" customWidth="1"/>
  </cols>
  <sheetData>
    <row r="1" spans="1:9" ht="12.7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4"/>
      <c r="B2" s="2" t="s">
        <v>74</v>
      </c>
      <c r="C2" s="2"/>
      <c r="D2" s="2"/>
      <c r="E2" s="2"/>
      <c r="F2" s="2"/>
      <c r="G2" s="2"/>
      <c r="H2" s="2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5" t="s">
        <v>2</v>
      </c>
      <c r="B4" s="6" t="s">
        <v>5</v>
      </c>
      <c r="C4" s="6"/>
      <c r="D4" s="6"/>
      <c r="E4" s="6"/>
      <c r="F4" s="6"/>
      <c r="G4" s="6"/>
      <c r="H4" s="6"/>
      <c r="I4" s="6"/>
    </row>
    <row r="5" spans="1:9" ht="12.75">
      <c r="A5" s="7" t="s">
        <v>3</v>
      </c>
      <c r="B5" s="8" t="s">
        <v>65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  <c r="I5" s="8" t="s">
        <v>75</v>
      </c>
    </row>
    <row r="6" spans="1:9" ht="13.5" thickBot="1">
      <c r="A6" s="5">
        <f aca="true" t="shared" si="0" ref="A6:A11">A7-1</f>
        <v>1995</v>
      </c>
      <c r="B6" s="17"/>
      <c r="C6" s="17"/>
      <c r="D6" s="17"/>
      <c r="E6" s="17"/>
      <c r="F6" s="17"/>
      <c r="G6" s="17"/>
      <c r="H6" s="17"/>
      <c r="I6" s="17">
        <v>0</v>
      </c>
    </row>
    <row r="7" spans="1:9" ht="14.25" thickBot="1" thickTop="1">
      <c r="A7" s="5">
        <f t="shared" si="0"/>
        <v>1996</v>
      </c>
      <c r="B7" s="17"/>
      <c r="C7" s="17"/>
      <c r="D7" s="17"/>
      <c r="E7" s="17"/>
      <c r="F7" s="17"/>
      <c r="G7" s="17"/>
      <c r="H7" s="62">
        <f>'Trended Incremental Paid'!H$13*(1+'Incremental Paid Trend Factors'!H$13)^0</f>
        <v>27</v>
      </c>
      <c r="I7" s="17">
        <f aca="true" t="shared" si="1" ref="I7:I12">SUM(B7:H7)</f>
        <v>27</v>
      </c>
    </row>
    <row r="8" spans="1:9" ht="14.25" thickBot="1" thickTop="1">
      <c r="A8" s="5">
        <f t="shared" si="0"/>
        <v>1997</v>
      </c>
      <c r="B8" s="17"/>
      <c r="C8" s="17"/>
      <c r="D8" s="17"/>
      <c r="E8" s="17"/>
      <c r="F8" s="17"/>
      <c r="G8" s="62">
        <f>'Trended Incremental Paid'!G$13*(1+'Incremental Paid Trend Factors'!G$13)^0</f>
        <v>46</v>
      </c>
      <c r="H8" s="17">
        <f>'Trended Incremental Paid'!H$13*(1+'Incremental Paid Trend Factors'!H$13)^1</f>
        <v>29.430000000000003</v>
      </c>
      <c r="I8" s="17">
        <f t="shared" si="1"/>
        <v>75.43</v>
      </c>
    </row>
    <row r="9" spans="1:9" ht="14.25" thickBot="1" thickTop="1">
      <c r="A9" s="5">
        <f t="shared" si="0"/>
        <v>1998</v>
      </c>
      <c r="B9" s="17"/>
      <c r="C9" s="17"/>
      <c r="D9" s="17"/>
      <c r="E9" s="17"/>
      <c r="F9" s="62">
        <f>'Trended Incremental Paid'!F$13*(1+'Incremental Paid Trend Factors'!F$13)^0</f>
        <v>70</v>
      </c>
      <c r="G9" s="17">
        <f>'Trended Incremental Paid'!G$13*(1+'Incremental Paid Trend Factors'!G$13)^1</f>
        <v>50.14</v>
      </c>
      <c r="H9" s="17">
        <f>'Trended Incremental Paid'!H$13*(1+'Incremental Paid Trend Factors'!H$13)^2</f>
        <v>32.078700000000005</v>
      </c>
      <c r="I9" s="17">
        <f t="shared" si="1"/>
        <v>152.2187</v>
      </c>
    </row>
    <row r="10" spans="1:9" ht="14.25" customHeight="1" thickBot="1" thickTop="1">
      <c r="A10" s="5">
        <f t="shared" si="0"/>
        <v>1999</v>
      </c>
      <c r="B10" s="17"/>
      <c r="C10" s="17"/>
      <c r="D10" s="17"/>
      <c r="E10" s="62">
        <f>'Trended Incremental Paid'!E$13*(1+'Incremental Paid Trend Factors'!E$13)^0</f>
        <v>140</v>
      </c>
      <c r="F10" s="17">
        <f>'Trended Incremental Paid'!F$13*(1+'Incremental Paid Trend Factors'!F$13)^1</f>
        <v>76.30000000000001</v>
      </c>
      <c r="G10" s="17">
        <f>'Trended Incremental Paid'!G$13*(1+'Incremental Paid Trend Factors'!G$13)^2</f>
        <v>54.65260000000001</v>
      </c>
      <c r="H10" s="17">
        <f>'Trended Incremental Paid'!H$13*(1+'Incremental Paid Trend Factors'!H$13)^3</f>
        <v>34.96578300000001</v>
      </c>
      <c r="I10" s="17">
        <f t="shared" si="1"/>
        <v>305.918383</v>
      </c>
    </row>
    <row r="11" spans="1:9" ht="14.25" customHeight="1" thickBot="1" thickTop="1">
      <c r="A11" s="5">
        <f t="shared" si="0"/>
        <v>2000</v>
      </c>
      <c r="B11" s="17"/>
      <c r="C11" s="17"/>
      <c r="D11" s="62">
        <f>'Trended Incremental Paid'!D$13*(1+'Incremental Paid Trend Factors'!D$13)^0</f>
        <v>280</v>
      </c>
      <c r="E11" s="17">
        <f>'Trended Incremental Paid'!E$13*(1+'Incremental Paid Trend Factors'!E$13)^1</f>
        <v>152.60000000000002</v>
      </c>
      <c r="F11" s="54">
        <f>'Trended Incremental Paid'!F$13*(1+'Incremental Paid Trend Factors'!F$13)^2</f>
        <v>83.16700000000002</v>
      </c>
      <c r="G11" s="17">
        <f>'Trended Incremental Paid'!G$13*(1+'Incremental Paid Trend Factors'!G$13)^3</f>
        <v>59.57133400000001</v>
      </c>
      <c r="H11" s="17">
        <f>'Trended Incremental Paid'!H$13*(1+'Incremental Paid Trend Factors'!H$13)^4</f>
        <v>38.11270347000001</v>
      </c>
      <c r="I11" s="17">
        <f t="shared" si="1"/>
        <v>613.4510374700001</v>
      </c>
    </row>
    <row r="12" spans="1:9" ht="14.25" customHeight="1" thickBot="1" thickTop="1">
      <c r="A12" s="5">
        <f>curryear</f>
        <v>2001</v>
      </c>
      <c r="B12" s="17"/>
      <c r="C12" s="62">
        <f>'Trended Incremental Paid'!C$13*(1+'Incremental Paid Trend Factors'!B$13)^0</f>
        <v>510</v>
      </c>
      <c r="D12" s="17">
        <f>'Trended Incremental Paid'!D$13*(1+'Incremental Paid Trend Factors'!D$13)^1</f>
        <v>305.20000000000005</v>
      </c>
      <c r="E12" s="17">
        <f>'Trended Incremental Paid'!E$13*(1+'Incremental Paid Trend Factors'!E$13)^2</f>
        <v>166.33400000000003</v>
      </c>
      <c r="F12" s="17">
        <f>'Trended Incremental Paid'!F$13*(1+'Incremental Paid Trend Factors'!F$13)^3</f>
        <v>90.65203000000001</v>
      </c>
      <c r="G12" s="17">
        <f>'Trended Incremental Paid'!G$13*(1+'Incremental Paid Trend Factors'!G$13)^4</f>
        <v>64.93275406000001</v>
      </c>
      <c r="H12" s="17">
        <f>'Trended Incremental Paid'!H$13*(1+'Incremental Paid Trend Factors'!H$13)^5</f>
        <v>41.54284678230001</v>
      </c>
      <c r="I12" s="17">
        <f t="shared" si="1"/>
        <v>1178.6616308423002</v>
      </c>
    </row>
    <row r="13" ht="14.25" thickBot="1" thickTop="1"/>
    <row r="14" spans="1:2" ht="14.25" thickBot="1" thickTop="1">
      <c r="A14" s="62"/>
      <c r="B14" s="3" t="s">
        <v>93</v>
      </c>
    </row>
    <row r="15" ht="5.25" customHeight="1" thickTop="1">
      <c r="A15" s="17"/>
    </row>
    <row r="16" spans="1:2" ht="12.75">
      <c r="A16" s="54">
        <f>F11</f>
        <v>83.16700000000002</v>
      </c>
      <c r="B16" s="19" t="s">
        <v>104</v>
      </c>
    </row>
    <row r="17" ht="12.75">
      <c r="B17" s="68" t="str">
        <f>"= "&amp;A9&amp;" value x (Slide 53 ^ number of years)"</f>
        <v>= 1998 value x (Slide 53 ^ number of years)</v>
      </c>
    </row>
    <row r="18" ht="6" customHeight="1">
      <c r="B18" s="19"/>
    </row>
    <row r="19" ht="12.75">
      <c r="A19" s="3" t="s">
        <v>102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ht="12.75">
      <c r="J32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9.140625" style="3" customWidth="1"/>
    <col min="2" max="2" width="12.57421875" style="3" bestFit="1" customWidth="1"/>
    <col min="3" max="3" width="11.00390625" style="3" bestFit="1" customWidth="1"/>
    <col min="4" max="4" width="9.140625" style="3" customWidth="1"/>
    <col min="5" max="5" width="11.00390625" style="3" bestFit="1" customWidth="1"/>
    <col min="6" max="6" width="10.140625" style="3" customWidth="1"/>
    <col min="7" max="16384" width="9.140625" style="3" customWidth="1"/>
  </cols>
  <sheetData>
    <row r="1" spans="1:6" ht="12.75">
      <c r="A1" s="1"/>
      <c r="B1" s="2" t="s">
        <v>0</v>
      </c>
      <c r="C1" s="2"/>
      <c r="D1" s="2"/>
      <c r="E1" s="2"/>
      <c r="F1" s="2"/>
    </row>
    <row r="2" spans="1:6" ht="12.75">
      <c r="A2" s="4"/>
      <c r="B2" s="2" t="s">
        <v>76</v>
      </c>
      <c r="C2" s="2"/>
      <c r="D2" s="2"/>
      <c r="E2" s="2"/>
      <c r="F2" s="2"/>
    </row>
    <row r="3" spans="1:6" ht="12.75">
      <c r="A3" s="4"/>
      <c r="B3" s="2"/>
      <c r="C3" s="2"/>
      <c r="D3" s="2"/>
      <c r="E3" s="2"/>
      <c r="F3" s="2"/>
    </row>
    <row r="4" spans="1:7" ht="12.75">
      <c r="A4" s="5"/>
      <c r="C4" s="11"/>
      <c r="E4" s="25"/>
      <c r="F4" s="26" t="s">
        <v>79</v>
      </c>
      <c r="G4" s="24"/>
    </row>
    <row r="5" spans="1:6" ht="12.75">
      <c r="A5" s="5"/>
      <c r="B5" s="25" t="s">
        <v>77</v>
      </c>
      <c r="C5" s="25" t="s">
        <v>79</v>
      </c>
      <c r="D5" s="25" t="s">
        <v>79</v>
      </c>
      <c r="E5" s="25" t="s">
        <v>79</v>
      </c>
      <c r="F5" s="26" t="s">
        <v>17</v>
      </c>
    </row>
    <row r="6" spans="1:6" ht="12.75">
      <c r="A6" s="5" t="s">
        <v>2</v>
      </c>
      <c r="B6" s="25" t="s">
        <v>78</v>
      </c>
      <c r="C6" s="25" t="s">
        <v>27</v>
      </c>
      <c r="D6" s="25" t="s">
        <v>37</v>
      </c>
      <c r="E6" s="25" t="s">
        <v>17</v>
      </c>
      <c r="F6" s="26" t="s">
        <v>23</v>
      </c>
    </row>
    <row r="7" spans="1:6" ht="12.75">
      <c r="A7" s="5" t="s">
        <v>3</v>
      </c>
      <c r="B7" s="30" t="str">
        <f>"as of "&amp;TEXT(curreval-365,"m/yy")</f>
        <v>as of 12/01</v>
      </c>
      <c r="C7" s="25" t="s">
        <v>80</v>
      </c>
      <c r="D7" s="25" t="s">
        <v>80</v>
      </c>
      <c r="E7" s="25" t="s">
        <v>82</v>
      </c>
      <c r="F7" s="27" t="s">
        <v>99</v>
      </c>
    </row>
    <row r="8" spans="1:6" ht="12.75">
      <c r="A8" s="28" t="s">
        <v>39</v>
      </c>
      <c r="B8" s="25" t="s">
        <v>90</v>
      </c>
      <c r="C8" s="25" t="s">
        <v>94</v>
      </c>
      <c r="D8" s="30" t="s">
        <v>81</v>
      </c>
      <c r="E8" s="25" t="s">
        <v>95</v>
      </c>
      <c r="F8" s="26" t="s">
        <v>98</v>
      </c>
    </row>
    <row r="9" spans="1:6" ht="12.75">
      <c r="A9" s="5">
        <f aca="true" t="shared" si="0" ref="A9:A14">A10-1</f>
        <v>1995</v>
      </c>
      <c r="B9" s="31">
        <f>SUM('Incremental Paid per Claim'!B6:H6)</f>
        <v>1197</v>
      </c>
      <c r="C9" s="16">
        <f>'Projected Incremental Paid'!I6</f>
        <v>0</v>
      </c>
      <c r="D9" s="16">
        <f aca="true" t="shared" si="1" ref="D9:D15">B9+C9</f>
        <v>1197</v>
      </c>
      <c r="E9" s="25">
        <f>'Ultimate Closed Claim'!I6</f>
        <v>100</v>
      </c>
      <c r="F9" s="63">
        <f aca="true" t="shared" si="2" ref="F9:F15">D9*E9/1000</f>
        <v>119.7</v>
      </c>
    </row>
    <row r="10" spans="1:6" ht="12.75">
      <c r="A10" s="5">
        <f t="shared" si="0"/>
        <v>1996</v>
      </c>
      <c r="B10" s="32">
        <f>SUM('Incremental Paid per Claim'!B7:H7)</f>
        <v>1280.7702788627485</v>
      </c>
      <c r="C10" s="17">
        <f>'Projected Incremental Paid'!I7</f>
        <v>27</v>
      </c>
      <c r="D10" s="17">
        <f t="shared" si="1"/>
        <v>1307.7702788627485</v>
      </c>
      <c r="E10" s="25">
        <f>'Ultimate Closed Claim'!I7</f>
        <v>110.09</v>
      </c>
      <c r="F10" s="64">
        <f t="shared" si="2"/>
        <v>143.97243</v>
      </c>
    </row>
    <row r="11" spans="1:6" ht="12.75">
      <c r="A11" s="5">
        <f t="shared" si="0"/>
        <v>1997</v>
      </c>
      <c r="B11" s="32">
        <f>SUM('Incremental Paid per Claim'!B8:H8)</f>
        <v>1360.5507127376188</v>
      </c>
      <c r="C11" s="17">
        <f>'Projected Incremental Paid'!I8</f>
        <v>75.43</v>
      </c>
      <c r="D11" s="17">
        <f t="shared" si="1"/>
        <v>1435.980712737619</v>
      </c>
      <c r="E11" s="25">
        <f>'Ultimate Closed Claim'!I8</f>
        <v>125.6844</v>
      </c>
      <c r="F11" s="64">
        <f t="shared" si="2"/>
        <v>180.480374292</v>
      </c>
    </row>
    <row r="12" spans="1:6" ht="12.75">
      <c r="A12" s="5">
        <f t="shared" si="0"/>
        <v>1998</v>
      </c>
      <c r="B12" s="32">
        <f>SUM('Incremental Paid per Claim'!B9:H9)</f>
        <v>1414.4698270121496</v>
      </c>
      <c r="C12" s="17">
        <f>'Projected Incremental Paid'!I9</f>
        <v>152.2187</v>
      </c>
      <c r="D12" s="17">
        <f t="shared" si="1"/>
        <v>1566.6885270121497</v>
      </c>
      <c r="E12" s="25">
        <f>'Ultimate Closed Claim'!I9</f>
        <v>139.2747984</v>
      </c>
      <c r="F12" s="64">
        <f t="shared" si="2"/>
        <v>218.2002287552101</v>
      </c>
    </row>
    <row r="13" spans="1:6" ht="12.75">
      <c r="A13" s="5">
        <f t="shared" si="0"/>
        <v>1999</v>
      </c>
      <c r="B13" s="32">
        <f>SUM('Incremental Paid per Claim'!B10:H10)</f>
        <v>1411.4720717118926</v>
      </c>
      <c r="C13" s="17">
        <f>'Projected Incremental Paid'!I10</f>
        <v>305.918383</v>
      </c>
      <c r="D13" s="17">
        <f t="shared" si="1"/>
        <v>1717.3904547118925</v>
      </c>
      <c r="E13" s="25">
        <f>'Ultimate Closed Claim'!I10</f>
        <v>160.39991476800003</v>
      </c>
      <c r="F13" s="64">
        <f t="shared" si="2"/>
        <v>275.4692825591644</v>
      </c>
    </row>
    <row r="14" spans="1:6" ht="12.75">
      <c r="A14" s="5">
        <f t="shared" si="0"/>
        <v>2000</v>
      </c>
      <c r="B14" s="32">
        <f>SUM('Incremental Paid per Claim'!B11:H11)</f>
        <v>1259.4282169362082</v>
      </c>
      <c r="C14" s="17">
        <f>'Projected Incremental Paid'!I11</f>
        <v>613.4510374700001</v>
      </c>
      <c r="D14" s="17">
        <f t="shared" si="1"/>
        <v>1872.8792544062082</v>
      </c>
      <c r="E14" s="25">
        <f>'Ultimate Closed Claim'!I11</f>
        <v>185.32219372358404</v>
      </c>
      <c r="F14" s="64">
        <f t="shared" si="2"/>
        <v>347.08609200594896</v>
      </c>
    </row>
    <row r="15" spans="1:6" ht="12.75">
      <c r="A15" s="5">
        <f>curryear</f>
        <v>2001</v>
      </c>
      <c r="B15" s="32">
        <f>SUM('Incremental Paid per Claim'!B12:H12)</f>
        <v>862.4327896006168</v>
      </c>
      <c r="C15" s="17">
        <f>'Projected Incremental Paid'!I12</f>
        <v>1178.6616308423002</v>
      </c>
      <c r="D15" s="17">
        <f t="shared" si="1"/>
        <v>2041.094420442917</v>
      </c>
      <c r="E15" s="25">
        <f>'Ultimate Closed Claim'!I12</f>
        <v>209.98737778032003</v>
      </c>
      <c r="F15" s="64">
        <f t="shared" si="2"/>
        <v>428.60406515085015</v>
      </c>
    </row>
    <row r="16" spans="1:6" ht="12.75">
      <c r="A16" s="1"/>
      <c r="B16" s="1"/>
      <c r="C16" s="1"/>
      <c r="D16" s="1"/>
      <c r="E16" s="1"/>
      <c r="F16" s="1"/>
    </row>
    <row r="17" spans="1:6" ht="12.75">
      <c r="A17" s="36"/>
      <c r="B17" s="23"/>
      <c r="C17" s="23"/>
      <c r="D17" s="23"/>
      <c r="E17" s="23"/>
      <c r="F17" s="23"/>
    </row>
    <row r="18" spans="1:6" ht="12.75">
      <c r="A18" s="1"/>
      <c r="B18" s="23"/>
      <c r="C18" s="23"/>
      <c r="D18" s="23"/>
      <c r="E18" s="23"/>
      <c r="F18" s="23"/>
    </row>
    <row r="19" spans="1:6" ht="12.75">
      <c r="A19" s="1"/>
      <c r="B19" s="23"/>
      <c r="C19" s="23"/>
      <c r="D19" s="23"/>
      <c r="E19" s="23"/>
      <c r="F19" s="23"/>
    </row>
    <row r="20" spans="1:6" ht="12.75">
      <c r="A20" s="1"/>
      <c r="B20" s="1"/>
      <c r="C20" s="1"/>
      <c r="D20" s="1"/>
      <c r="E20" s="1"/>
      <c r="F20" s="1"/>
    </row>
    <row r="21" spans="1:6" ht="12.75">
      <c r="A21" s="24" t="s">
        <v>48</v>
      </c>
      <c r="B21" s="24"/>
      <c r="C21" s="24"/>
      <c r="D21" s="3" t="s">
        <v>50</v>
      </c>
      <c r="F21" s="12"/>
    </row>
    <row r="22" spans="1:5" ht="12.75">
      <c r="A22" s="3" t="s">
        <v>44</v>
      </c>
      <c r="B22" s="3">
        <f>SLOPE('Avg Incremental Ultimate'!F9:F12,'Avg Incremental Ultimate'!A25:A28)</f>
        <v>33.20086305574514</v>
      </c>
      <c r="E22" s="3" t="s">
        <v>44</v>
      </c>
    </row>
    <row r="23" spans="1:5" ht="12.75">
      <c r="A23" s="3" t="s">
        <v>45</v>
      </c>
      <c r="B23" s="3">
        <f>INTERCEPT('Avg Incremental Ultimate'!F9:F12,'Avg Incremental Ultimate'!A25:A28)</f>
        <v>-66119.93483253336</v>
      </c>
      <c r="E23" s="3" t="s">
        <v>45</v>
      </c>
    </row>
    <row r="24" spans="1:5" ht="12.75">
      <c r="A24" s="24"/>
      <c r="B24" s="24" t="s">
        <v>47</v>
      </c>
      <c r="C24" s="24"/>
      <c r="D24" s="3" t="s">
        <v>42</v>
      </c>
      <c r="E24" s="3" t="s">
        <v>43</v>
      </c>
    </row>
    <row r="25" spans="1:5" ht="12.75">
      <c r="A25" s="37">
        <f>A9</f>
        <v>1995</v>
      </c>
      <c r="B25" s="24">
        <f>B$22*A25+B$23</f>
        <v>115.78696367819794</v>
      </c>
      <c r="C25" s="24"/>
      <c r="D25" s="3">
        <f>LN(A25)</f>
        <v>7.598399329323964</v>
      </c>
      <c r="E25" s="3">
        <f>LN('Avg Incremental Ultimate'!F9)</f>
        <v>4.784988612563928</v>
      </c>
    </row>
    <row r="26" spans="1:5" ht="12.75">
      <c r="A26" s="37">
        <f>A25+1</f>
        <v>1996</v>
      </c>
      <c r="B26" s="24">
        <f>B$22*A26+B$23</f>
        <v>148.98782673393725</v>
      </c>
      <c r="C26" s="24"/>
      <c r="D26" s="3">
        <f>LN(A26)</f>
        <v>7.59890045687141</v>
      </c>
      <c r="E26" s="3">
        <f>LN('Avg Incremental Ultimate'!F10)</f>
        <v>4.969621822912181</v>
      </c>
    </row>
    <row r="27" spans="1:5" ht="12.75">
      <c r="A27" s="37">
        <f>A26+1</f>
        <v>1997</v>
      </c>
      <c r="B27" s="24">
        <f>B$22*A27+B$23</f>
        <v>182.18868978969113</v>
      </c>
      <c r="C27" s="24"/>
      <c r="D27" s="3">
        <f>LN(A27)</f>
        <v>7.599401333415815</v>
      </c>
      <c r="E27" s="3">
        <f>LN('Avg Incremental Ultimate'!F11)</f>
        <v>5.195622042177225</v>
      </c>
    </row>
    <row r="28" spans="1:5" ht="12.75">
      <c r="A28" s="37">
        <f>A27+1</f>
        <v>1998</v>
      </c>
      <c r="B28" s="24">
        <f>B$22*A28+B$23</f>
        <v>215.38955284543044</v>
      </c>
      <c r="C28" s="24"/>
      <c r="D28" s="3">
        <f>LN(A28)</f>
        <v>7.599901959208498</v>
      </c>
      <c r="E28" s="3">
        <f>LN('Avg Incremental Ultimate'!F12)</f>
        <v>5.385413121772436</v>
      </c>
    </row>
    <row r="29" spans="1:4" ht="12.75">
      <c r="A29" s="37">
        <f>A28+1</f>
        <v>1999</v>
      </c>
      <c r="B29" s="24">
        <f>B$22*A29+B$23</f>
        <v>248.59041590116976</v>
      </c>
      <c r="C29" s="24"/>
      <c r="D29" s="3">
        <f>LN(A29)</f>
        <v>7.6004023345004</v>
      </c>
    </row>
    <row r="32" ht="12.75">
      <c r="A32" s="2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2" sqref="A12"/>
    </sheetView>
  </sheetViews>
  <sheetFormatPr defaultColWidth="9.140625" defaultRowHeight="12.75"/>
  <cols>
    <col min="1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4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3</v>
      </c>
      <c r="B5" s="8">
        <v>12</v>
      </c>
      <c r="C5" s="8">
        <v>24</v>
      </c>
      <c r="D5" s="8">
        <v>36</v>
      </c>
      <c r="E5" s="8">
        <v>48</v>
      </c>
      <c r="F5" s="8">
        <v>60</v>
      </c>
      <c r="G5" s="8">
        <v>72</v>
      </c>
      <c r="H5" s="8">
        <v>84</v>
      </c>
    </row>
    <row r="6" spans="1:8" ht="12.75">
      <c r="A6" s="5">
        <f aca="true" t="shared" si="0" ref="A6:A11">A7-1</f>
        <v>1995</v>
      </c>
      <c r="B6" s="9">
        <v>50</v>
      </c>
      <c r="C6" s="9">
        <v>80</v>
      </c>
      <c r="D6" s="9">
        <v>98.2</v>
      </c>
      <c r="E6" s="9">
        <v>107.8</v>
      </c>
      <c r="F6" s="9">
        <v>113.2</v>
      </c>
      <c r="G6" s="9">
        <v>117.2</v>
      </c>
      <c r="H6" s="9">
        <v>119.7</v>
      </c>
    </row>
    <row r="7" spans="1:8" ht="12.75">
      <c r="A7" s="5">
        <f t="shared" si="0"/>
        <v>1996</v>
      </c>
      <c r="B7" s="10">
        <v>60.2</v>
      </c>
      <c r="C7" s="10">
        <v>97</v>
      </c>
      <c r="D7" s="10">
        <v>118.5</v>
      </c>
      <c r="E7" s="10">
        <v>130.7</v>
      </c>
      <c r="F7" s="10">
        <v>136.6</v>
      </c>
      <c r="G7" s="10">
        <v>141</v>
      </c>
      <c r="H7" s="11"/>
    </row>
    <row r="8" spans="1:8" ht="12.75">
      <c r="A8" s="5">
        <f t="shared" si="0"/>
        <v>1997</v>
      </c>
      <c r="B8" s="10">
        <v>75.5</v>
      </c>
      <c r="C8" s="10">
        <v>120.1</v>
      </c>
      <c r="D8" s="10">
        <v>147</v>
      </c>
      <c r="E8" s="10">
        <v>162.4</v>
      </c>
      <c r="F8" s="10">
        <v>171</v>
      </c>
      <c r="G8" s="10"/>
      <c r="H8" s="11"/>
    </row>
    <row r="9" spans="1:8" ht="12.75">
      <c r="A9" s="5">
        <f t="shared" si="0"/>
        <v>1998</v>
      </c>
      <c r="B9" s="10">
        <v>91.9</v>
      </c>
      <c r="C9" s="10">
        <v>147.1</v>
      </c>
      <c r="D9" s="10">
        <v>180.2</v>
      </c>
      <c r="E9" s="10">
        <v>197</v>
      </c>
      <c r="F9" s="10"/>
      <c r="G9" s="10"/>
      <c r="H9" s="11"/>
    </row>
    <row r="10" spans="1:8" ht="12.75">
      <c r="A10" s="5">
        <f t="shared" si="0"/>
        <v>1999</v>
      </c>
      <c r="B10" s="10">
        <v>115</v>
      </c>
      <c r="C10" s="10">
        <v>184.1</v>
      </c>
      <c r="D10" s="10">
        <v>226.4</v>
      </c>
      <c r="E10" s="10"/>
      <c r="F10" s="10"/>
      <c r="G10" s="10"/>
      <c r="H10" s="11"/>
    </row>
    <row r="11" spans="1:8" ht="12.75">
      <c r="A11" s="5">
        <f t="shared" si="0"/>
        <v>2000</v>
      </c>
      <c r="B11" s="10">
        <v>146.5</v>
      </c>
      <c r="C11" s="10">
        <v>233.4</v>
      </c>
      <c r="D11" s="10"/>
      <c r="E11" s="10"/>
      <c r="F11" s="10"/>
      <c r="G11" s="10"/>
      <c r="H11" s="11"/>
    </row>
    <row r="12" spans="1:8" ht="12.75">
      <c r="A12" s="5">
        <f>curryear</f>
        <v>2001</v>
      </c>
      <c r="B12" s="10">
        <v>181.1</v>
      </c>
      <c r="C12" s="10"/>
      <c r="D12" s="10"/>
      <c r="E12" s="10"/>
      <c r="F12" s="10"/>
      <c r="G12" s="10"/>
      <c r="H12" s="11"/>
    </row>
    <row r="13" spans="1:8" ht="12.75">
      <c r="A13" s="5"/>
      <c r="B13" s="1"/>
      <c r="C13" s="1"/>
      <c r="D13" s="1"/>
      <c r="E13" s="1"/>
      <c r="F13" s="1"/>
      <c r="G13" s="1"/>
      <c r="H13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9.140625" defaultRowHeight="12.75"/>
  <cols>
    <col min="3" max="3" width="3.421875" style="0" customWidth="1"/>
  </cols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9" sqref="A6:A9"/>
    </sheetView>
  </sheetViews>
  <sheetFormatPr defaultColWidth="9.140625" defaultRowHeight="12.75"/>
  <cols>
    <col min="1" max="1" width="10.57421875" style="3" customWidth="1"/>
    <col min="2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21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/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39" t="s">
        <v>13</v>
      </c>
    </row>
    <row r="6" spans="1:8" ht="12.75">
      <c r="A6" s="5">
        <f>A7-1</f>
        <v>1995</v>
      </c>
      <c r="B6" s="23">
        <f>'Pd Loss Triangle'!C6/'Pd Loss Triangle'!B6</f>
        <v>1.6</v>
      </c>
      <c r="C6" s="23">
        <f>'Pd Loss Triangle'!D6/'Pd Loss Triangle'!C6</f>
        <v>1.2275</v>
      </c>
      <c r="D6" s="23">
        <f>'Pd Loss Triangle'!E6/'Pd Loss Triangle'!D6</f>
        <v>1.0977596741344195</v>
      </c>
      <c r="E6" s="23">
        <f>'Pd Loss Triangle'!F6/'Pd Loss Triangle'!E6</f>
        <v>1.0500927643784788</v>
      </c>
      <c r="F6" s="23">
        <f>'Pd Loss Triangle'!G6/'Pd Loss Triangle'!F6</f>
        <v>1.0353356890459364</v>
      </c>
      <c r="G6" s="23">
        <f>'Pd Loss Triangle'!H6/'Pd Loss Triangle'!G6</f>
        <v>1.0213310580204777</v>
      </c>
      <c r="H6" s="23">
        <v>1</v>
      </c>
    </row>
    <row r="7" spans="1:8" ht="12.75">
      <c r="A7" s="5">
        <f>A8-1</f>
        <v>1996</v>
      </c>
      <c r="B7" s="23">
        <f>'Pd Loss Triangle'!C7/'Pd Loss Triangle'!B7</f>
        <v>1.611295681063123</v>
      </c>
      <c r="C7" s="23">
        <f>'Pd Loss Triangle'!D7/'Pd Loss Triangle'!C7</f>
        <v>1.2216494845360826</v>
      </c>
      <c r="D7" s="23">
        <f>'Pd Loss Triangle'!E7/'Pd Loss Triangle'!D7</f>
        <v>1.10295358649789</v>
      </c>
      <c r="E7" s="23">
        <f>'Pd Loss Triangle'!F7/'Pd Loss Triangle'!E7</f>
        <v>1.045141545524101</v>
      </c>
      <c r="F7" s="23">
        <f>'Pd Loss Triangle'!G7/'Pd Loss Triangle'!F7</f>
        <v>1.0322108345534406</v>
      </c>
      <c r="G7" s="23"/>
      <c r="H7" s="1"/>
    </row>
    <row r="8" spans="1:8" ht="12.75">
      <c r="A8" s="5">
        <f>A9-1</f>
        <v>1997</v>
      </c>
      <c r="B8" s="23">
        <f>'Pd Loss Triangle'!C8/'Pd Loss Triangle'!B8</f>
        <v>1.590728476821192</v>
      </c>
      <c r="C8" s="23">
        <f>'Pd Loss Triangle'!D8/'Pd Loss Triangle'!C8</f>
        <v>1.2239800166527894</v>
      </c>
      <c r="D8" s="23">
        <f>'Pd Loss Triangle'!E8/'Pd Loss Triangle'!D8</f>
        <v>1.1047619047619048</v>
      </c>
      <c r="E8" s="23">
        <f>'Pd Loss Triangle'!F8/'Pd Loss Triangle'!E8</f>
        <v>1.0529556650246306</v>
      </c>
      <c r="F8" s="1"/>
      <c r="G8" s="1"/>
      <c r="H8" s="1"/>
    </row>
    <row r="9" spans="1:8" ht="12.75">
      <c r="A9" s="5">
        <f>A10-1</f>
        <v>1998</v>
      </c>
      <c r="B9" s="23">
        <f>'Pd Loss Triangle'!C9/'Pd Loss Triangle'!B9</f>
        <v>1.6006528835690967</v>
      </c>
      <c r="C9" s="23">
        <f>'Pd Loss Triangle'!D9/'Pd Loss Triangle'!C9</f>
        <v>1.2250169952413323</v>
      </c>
      <c r="D9" s="23">
        <f>'Pd Loss Triangle'!E9/'Pd Loss Triangle'!D9</f>
        <v>1.0932297447280799</v>
      </c>
      <c r="E9" s="1"/>
      <c r="F9" s="1"/>
      <c r="G9" s="1"/>
      <c r="H9" s="1"/>
    </row>
    <row r="10" spans="1:8" ht="12.75">
      <c r="A10" s="5">
        <f>A11-1</f>
        <v>1999</v>
      </c>
      <c r="B10" s="23">
        <f>'Pd Loss Triangle'!C10/'Pd Loss Triangle'!B10</f>
        <v>1.6008695652173912</v>
      </c>
      <c r="C10" s="23">
        <f>'Pd Loss Triangle'!D10/'Pd Loss Triangle'!C10</f>
        <v>1.229766431287344</v>
      </c>
      <c r="D10" s="1"/>
      <c r="E10" s="1"/>
      <c r="F10" s="1"/>
      <c r="G10" s="1"/>
      <c r="H10" s="1"/>
    </row>
    <row r="11" spans="1:8" ht="12.75">
      <c r="A11" s="5">
        <f>curryear-1</f>
        <v>2000</v>
      </c>
      <c r="B11" s="23">
        <f>'Pd Loss Triangle'!C11/'Pd Loss Triangle'!B11</f>
        <v>1.593174061433447</v>
      </c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21" t="s">
        <v>14</v>
      </c>
      <c r="B13" s="23">
        <f>AVERAGE(B9:B11)</f>
        <v>1.5982321700733115</v>
      </c>
      <c r="C13" s="23">
        <f>AVERAGE(C8:C10)</f>
        <v>1.2262544810604885</v>
      </c>
      <c r="D13" s="23">
        <f>AVERAGE(D7:D9)</f>
        <v>1.100315078662625</v>
      </c>
      <c r="E13" s="23">
        <f>AVERAGE(E6:E8)</f>
        <v>1.0493966583090701</v>
      </c>
      <c r="F13" s="23">
        <f>AVERAGE(F6:F7)</f>
        <v>1.0337732617996886</v>
      </c>
      <c r="G13" s="23">
        <f>G6</f>
        <v>1.0213310580204777</v>
      </c>
      <c r="H13" s="23">
        <f>H6</f>
        <v>1</v>
      </c>
    </row>
    <row r="14" spans="1:8" ht="12.75">
      <c r="A14" s="1" t="s">
        <v>15</v>
      </c>
      <c r="B14" s="23"/>
      <c r="C14" s="23"/>
      <c r="D14" s="23"/>
      <c r="E14" s="23">
        <v>1.05</v>
      </c>
      <c r="F14" s="23">
        <v>1.035</v>
      </c>
      <c r="G14" s="23">
        <v>1.02</v>
      </c>
      <c r="H14" s="23">
        <f>H13</f>
        <v>1</v>
      </c>
    </row>
    <row r="15" spans="1:8" ht="12.75">
      <c r="A15" s="1" t="s">
        <v>16</v>
      </c>
      <c r="B15" s="23"/>
      <c r="C15" s="23"/>
      <c r="D15" s="23"/>
      <c r="E15" s="23">
        <f>E14*F15</f>
        <v>1.108485</v>
      </c>
      <c r="F15" s="23">
        <f>F14*G15</f>
        <v>1.0556999999999999</v>
      </c>
      <c r="G15" s="23">
        <f>G14*H15</f>
        <v>1.02</v>
      </c>
      <c r="H15" s="23">
        <f>H14</f>
        <v>1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 t="s">
        <v>19</v>
      </c>
      <c r="B17" s="17"/>
      <c r="C17" s="17"/>
      <c r="D17" s="17"/>
      <c r="E17" s="10">
        <f>'Pd Loss Triangle'!E9</f>
        <v>197</v>
      </c>
      <c r="F17" s="10">
        <f>'Pd Loss Triangle'!F8</f>
        <v>171</v>
      </c>
      <c r="G17" s="10">
        <f>'Pd Loss Triangle'!G7</f>
        <v>141</v>
      </c>
      <c r="H17" s="10">
        <f>'Pd Loss Triangle'!H6</f>
        <v>119.7</v>
      </c>
    </row>
    <row r="18" spans="1:8" ht="12.75">
      <c r="A18" s="40" t="s">
        <v>17</v>
      </c>
      <c r="B18" s="41"/>
      <c r="C18" s="41"/>
      <c r="D18" s="41"/>
      <c r="E18" s="47">
        <f>E15*E17</f>
        <v>218.371545</v>
      </c>
      <c r="F18" s="47">
        <f>F15*F17</f>
        <v>180.52469999999997</v>
      </c>
      <c r="G18" s="47">
        <f>G15*G17</f>
        <v>143.82</v>
      </c>
      <c r="H18" s="48">
        <f>H15*H17</f>
        <v>119.7</v>
      </c>
    </row>
    <row r="19" spans="1:8" ht="12.75">
      <c r="A19" s="5"/>
      <c r="B19" s="23"/>
      <c r="C19" s="23"/>
      <c r="D19" s="1"/>
      <c r="E19" s="1"/>
      <c r="F19" s="1"/>
      <c r="G19" s="1"/>
      <c r="H19" s="1"/>
    </row>
    <row r="20" spans="1:8" ht="12.75">
      <c r="A20" s="5"/>
      <c r="B20" s="23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36"/>
      <c r="B22" s="23"/>
      <c r="C22" s="23"/>
      <c r="D22" s="23"/>
      <c r="E22" s="23"/>
      <c r="F22" s="23"/>
      <c r="G22" s="23"/>
      <c r="H22" s="23"/>
    </row>
    <row r="23" spans="1:8" ht="12.75">
      <c r="A23" s="1"/>
      <c r="B23" s="23"/>
      <c r="C23" s="23"/>
      <c r="D23" s="23"/>
      <c r="E23" s="23"/>
      <c r="F23" s="23"/>
      <c r="G23" s="23"/>
      <c r="H23" s="23"/>
    </row>
    <row r="24" spans="1:8" ht="12.75">
      <c r="A24" s="1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7"/>
      <c r="C26" s="17"/>
      <c r="D26" s="17"/>
      <c r="E26" s="17"/>
      <c r="F26" s="17"/>
      <c r="G26" s="17"/>
      <c r="H26" s="17"/>
    </row>
    <row r="27" spans="1:8" ht="12.75">
      <c r="A27" s="43"/>
      <c r="B27" s="44"/>
      <c r="C27" s="44"/>
      <c r="D27" s="44"/>
      <c r="E27" s="44"/>
      <c r="F27" s="44"/>
      <c r="G27" s="44"/>
      <c r="H27" s="45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3" sqref="A13"/>
    </sheetView>
  </sheetViews>
  <sheetFormatPr defaultColWidth="9.140625" defaultRowHeight="12.75"/>
  <cols>
    <col min="1" max="8" width="9.140625" style="3" customWidth="1"/>
    <col min="9" max="9" width="7.8515625" style="3" bestFit="1" customWidth="1"/>
    <col min="10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4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9" ht="12.75">
      <c r="A5" s="7" t="s">
        <v>3</v>
      </c>
      <c r="B5" s="8">
        <v>12</v>
      </c>
      <c r="C5" s="8">
        <v>24</v>
      </c>
      <c r="D5" s="8">
        <v>36</v>
      </c>
      <c r="E5" s="8">
        <v>48</v>
      </c>
      <c r="F5" s="8">
        <v>60</v>
      </c>
      <c r="G5" s="8">
        <v>72</v>
      </c>
      <c r="H5" s="8">
        <v>84</v>
      </c>
      <c r="I5" s="38" t="s">
        <v>17</v>
      </c>
    </row>
    <row r="6" spans="1:9" ht="12.75">
      <c r="A6" s="5">
        <f aca="true" t="shared" si="0" ref="A6:A11">A7-1</f>
        <v>1995</v>
      </c>
      <c r="B6" s="9">
        <f>'Pd Loss Triangle'!B6</f>
        <v>50</v>
      </c>
      <c r="C6" s="9">
        <f>'Pd Loss Triangle'!C6</f>
        <v>80</v>
      </c>
      <c r="D6" s="65">
        <f>'Pd Loss Triangle'!D6</f>
        <v>98.2</v>
      </c>
      <c r="E6" s="9">
        <f>'Pd Loss Triangle'!E6</f>
        <v>107.8</v>
      </c>
      <c r="F6" s="9">
        <f>'Pd Loss Triangle'!F6</f>
        <v>113.2</v>
      </c>
      <c r="G6" s="9">
        <f>'Pd Loss Triangle'!G6</f>
        <v>117.2</v>
      </c>
      <c r="H6" s="9">
        <f>'Pd Loss Triangle'!H6</f>
        <v>119.7</v>
      </c>
      <c r="I6" s="49">
        <f>'Paid Loss Factors'!H18</f>
        <v>119.7</v>
      </c>
    </row>
    <row r="7" spans="1:9" ht="12.75">
      <c r="A7" s="5">
        <f t="shared" si="0"/>
        <v>1996</v>
      </c>
      <c r="B7" s="10">
        <f>'Pd Loss Triangle'!B7</f>
        <v>60.2</v>
      </c>
      <c r="C7" s="66">
        <f>'Pd Loss Triangle'!C7</f>
        <v>97</v>
      </c>
      <c r="D7" s="66">
        <f>'Pd Loss Triangle'!D7</f>
        <v>118.5</v>
      </c>
      <c r="E7" s="10">
        <f>'Pd Loss Triangle'!E7</f>
        <v>130.7</v>
      </c>
      <c r="F7" s="10">
        <f>'Pd Loss Triangle'!F7</f>
        <v>136.6</v>
      </c>
      <c r="G7" s="10">
        <f>'Pd Loss Triangle'!G7</f>
        <v>141</v>
      </c>
      <c r="H7" s="11"/>
      <c r="I7" s="50">
        <f>'Paid Loss Factors'!G18</f>
        <v>143.82</v>
      </c>
    </row>
    <row r="8" spans="1:9" ht="12.75">
      <c r="A8" s="5">
        <f t="shared" si="0"/>
        <v>1997</v>
      </c>
      <c r="B8" s="66">
        <f>'Pd Loss Triangle'!B8</f>
        <v>75.5</v>
      </c>
      <c r="C8" s="66">
        <f>'Pd Loss Triangle'!C8</f>
        <v>120.1</v>
      </c>
      <c r="D8" s="66">
        <f>'Pd Loss Triangle'!D8</f>
        <v>147</v>
      </c>
      <c r="E8" s="10">
        <f>'Pd Loss Triangle'!E8</f>
        <v>162.4</v>
      </c>
      <c r="F8" s="10">
        <f>'Pd Loss Triangle'!F8</f>
        <v>171</v>
      </c>
      <c r="G8" s="10"/>
      <c r="H8" s="11"/>
      <c r="I8" s="50">
        <f>'Paid Loss Factors'!F18</f>
        <v>180.52469999999997</v>
      </c>
    </row>
    <row r="9" spans="1:9" ht="12.75">
      <c r="A9" s="5">
        <f t="shared" si="0"/>
        <v>1998</v>
      </c>
      <c r="B9" s="66">
        <f>'Pd Loss Triangle'!B9</f>
        <v>91.9</v>
      </c>
      <c r="C9" s="66">
        <f>'Pd Loss Triangle'!C9</f>
        <v>147.1</v>
      </c>
      <c r="D9" s="66">
        <f>'Pd Loss Triangle'!D9</f>
        <v>180.2</v>
      </c>
      <c r="E9" s="10">
        <f>'Pd Loss Triangle'!E9</f>
        <v>197</v>
      </c>
      <c r="F9" s="10"/>
      <c r="G9" s="10"/>
      <c r="H9" s="11"/>
      <c r="I9" s="50">
        <f>'Paid Loss Factors'!E18</f>
        <v>218.371545</v>
      </c>
    </row>
    <row r="10" spans="1:9" ht="12.75">
      <c r="A10" s="5">
        <f t="shared" si="0"/>
        <v>1999</v>
      </c>
      <c r="B10" s="66">
        <f>'Pd Loss Triangle'!B10</f>
        <v>115</v>
      </c>
      <c r="C10" s="66">
        <f>'Pd Loss Triangle'!C10</f>
        <v>184.1</v>
      </c>
      <c r="D10" s="10">
        <f>'Pd Loss Triangle'!D10</f>
        <v>226.4</v>
      </c>
      <c r="E10" s="10"/>
      <c r="F10" s="10"/>
      <c r="G10" s="10"/>
      <c r="H10" s="11"/>
      <c r="I10" s="51" t="s">
        <v>20</v>
      </c>
    </row>
    <row r="11" spans="1:9" ht="12.75">
      <c r="A11" s="5">
        <f t="shared" si="0"/>
        <v>2000</v>
      </c>
      <c r="B11" s="66">
        <f>'Pd Loss Triangle'!B11</f>
        <v>146.5</v>
      </c>
      <c r="C11" s="10">
        <f>'Pd Loss Triangle'!C11</f>
        <v>233.4</v>
      </c>
      <c r="D11" s="10"/>
      <c r="E11" s="10"/>
      <c r="F11" s="10"/>
      <c r="G11" s="10"/>
      <c r="H11" s="11"/>
      <c r="I11" s="51" t="s">
        <v>20</v>
      </c>
    </row>
    <row r="12" spans="1:9" ht="12.75">
      <c r="A12" s="5">
        <f>curryear</f>
        <v>2001</v>
      </c>
      <c r="B12" s="10">
        <f>'Pd Loss Triangle'!B12</f>
        <v>181.1</v>
      </c>
      <c r="C12" s="10"/>
      <c r="D12" s="10"/>
      <c r="E12" s="10"/>
      <c r="F12" s="10"/>
      <c r="G12" s="10"/>
      <c r="H12" s="11"/>
      <c r="I12" s="51" t="s">
        <v>20</v>
      </c>
    </row>
    <row r="13" spans="1:9" ht="12.75">
      <c r="A13" s="5"/>
      <c r="B13" s="10"/>
      <c r="C13" s="10"/>
      <c r="D13" s="10"/>
      <c r="E13" s="10"/>
      <c r="F13" s="10"/>
      <c r="G13" s="10"/>
      <c r="H13" s="11"/>
      <c r="I13" s="46"/>
    </row>
    <row r="14" spans="1:9" ht="12.75">
      <c r="A14" s="5"/>
      <c r="B14" s="10"/>
      <c r="C14" s="10"/>
      <c r="D14" s="10"/>
      <c r="E14" s="10"/>
      <c r="F14" s="10"/>
      <c r="G14" s="10"/>
      <c r="H14" s="11"/>
      <c r="I14" s="46"/>
    </row>
    <row r="15" spans="3:9" ht="12.75">
      <c r="C15" s="10"/>
      <c r="D15" s="10"/>
      <c r="E15" s="10"/>
      <c r="F15" s="10"/>
      <c r="G15" s="10"/>
      <c r="H15" s="11"/>
      <c r="I15" s="46"/>
    </row>
    <row r="16" spans="3:9" ht="6" customHeight="1">
      <c r="C16" s="10"/>
      <c r="D16" s="10"/>
      <c r="E16" s="10"/>
      <c r="F16" s="10"/>
      <c r="G16" s="10"/>
      <c r="H16" s="11"/>
      <c r="I16" s="46"/>
    </row>
    <row r="17" spans="1:9" ht="12.75">
      <c r="A17" s="53"/>
      <c r="B17" s="10" t="s">
        <v>68</v>
      </c>
      <c r="C17" s="10"/>
      <c r="D17" s="10"/>
      <c r="E17" s="10"/>
      <c r="F17" s="10"/>
      <c r="G17" s="10"/>
      <c r="H17" s="11"/>
      <c r="I17" s="46"/>
    </row>
    <row r="19" spans="1:8" ht="12.75">
      <c r="A19" s="5"/>
      <c r="B19" s="1"/>
      <c r="C19" s="1"/>
      <c r="D19" s="1"/>
      <c r="E19" s="1"/>
      <c r="F19" s="1"/>
      <c r="G19" s="1"/>
      <c r="H19" s="1"/>
    </row>
    <row r="20" spans="1:8" ht="12.75">
      <c r="A20" s="7"/>
      <c r="B20" s="13"/>
      <c r="C20" s="13"/>
      <c r="D20" s="13"/>
      <c r="E20" s="13"/>
      <c r="F20" s="13"/>
      <c r="G20" s="13"/>
      <c r="H20" s="39"/>
    </row>
    <row r="21" spans="1:8" ht="12.75">
      <c r="A21" s="5"/>
      <c r="B21" s="23"/>
      <c r="C21" s="23"/>
      <c r="D21" s="23"/>
      <c r="E21" s="23"/>
      <c r="F21" s="23"/>
      <c r="G21" s="23"/>
      <c r="H21" s="23"/>
    </row>
    <row r="22" spans="1:8" ht="12.75">
      <c r="A22" s="5"/>
      <c r="B22" s="23"/>
      <c r="C22" s="23"/>
      <c r="D22" s="23"/>
      <c r="E22" s="23"/>
      <c r="F22" s="23"/>
      <c r="G22" s="23"/>
      <c r="H22" s="1"/>
    </row>
    <row r="23" spans="1:8" ht="12.75">
      <c r="A23" s="5"/>
      <c r="B23" s="23"/>
      <c r="C23" s="23"/>
      <c r="D23" s="23"/>
      <c r="E23" s="23"/>
      <c r="F23" s="1"/>
      <c r="G23" s="1"/>
      <c r="H23" s="1"/>
    </row>
    <row r="24" spans="1:8" ht="12.75">
      <c r="A24" s="5"/>
      <c r="B24" s="23"/>
      <c r="C24" s="23"/>
      <c r="D24" s="23"/>
      <c r="E24" s="1"/>
      <c r="F24" s="1"/>
      <c r="G24" s="1"/>
      <c r="H24" s="1"/>
    </row>
    <row r="25" spans="1:8" ht="12.75">
      <c r="A25" s="5"/>
      <c r="B25" s="23"/>
      <c r="C25" s="23"/>
      <c r="D25" s="1"/>
      <c r="E25" s="1"/>
      <c r="F25" s="1"/>
      <c r="G25" s="1"/>
      <c r="H25" s="1"/>
    </row>
    <row r="26" spans="1:8" ht="12.75">
      <c r="A26" s="5"/>
      <c r="B26" s="23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36"/>
      <c r="B28" s="23"/>
      <c r="C28" s="23"/>
      <c r="D28" s="23"/>
      <c r="E28" s="23"/>
      <c r="F28" s="23"/>
      <c r="G28" s="23"/>
      <c r="H28" s="23"/>
    </row>
    <row r="29" spans="1:8" ht="12.75">
      <c r="A29" s="1"/>
      <c r="B29" s="23"/>
      <c r="C29" s="23"/>
      <c r="D29" s="23"/>
      <c r="E29" s="23"/>
      <c r="F29" s="23"/>
      <c r="G29" s="23"/>
      <c r="H29" s="23"/>
    </row>
    <row r="30" spans="1:8" ht="12.75">
      <c r="A30" s="1"/>
      <c r="B30" s="23"/>
      <c r="C30" s="23"/>
      <c r="D30" s="23"/>
      <c r="E30" s="23"/>
      <c r="F30" s="23"/>
      <c r="G30" s="23"/>
      <c r="H30" s="23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ht="12.75">
      <c r="H32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2" sqref="A12"/>
    </sheetView>
  </sheetViews>
  <sheetFormatPr defaultColWidth="9.140625" defaultRowHeight="12.75"/>
  <cols>
    <col min="1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1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3</v>
      </c>
      <c r="B5" s="8">
        <v>12</v>
      </c>
      <c r="C5" s="8">
        <v>24</v>
      </c>
      <c r="D5" s="8">
        <v>36</v>
      </c>
      <c r="E5" s="8">
        <v>48</v>
      </c>
      <c r="F5" s="8">
        <v>60</v>
      </c>
      <c r="G5" s="8">
        <v>72</v>
      </c>
      <c r="H5" s="8">
        <v>84</v>
      </c>
    </row>
    <row r="6" spans="1:8" ht="12.75">
      <c r="A6" s="5">
        <f aca="true" t="shared" si="0" ref="A6:A11">A7-1</f>
        <v>1995</v>
      </c>
      <c r="B6" s="11">
        <v>50</v>
      </c>
      <c r="C6" s="11">
        <v>75</v>
      </c>
      <c r="D6" s="11">
        <v>88</v>
      </c>
      <c r="E6" s="11">
        <v>94</v>
      </c>
      <c r="F6" s="11">
        <v>97</v>
      </c>
      <c r="G6" s="11">
        <v>99</v>
      </c>
      <c r="H6" s="11">
        <v>100</v>
      </c>
    </row>
    <row r="7" spans="1:8" ht="12.75">
      <c r="A7" s="5">
        <f t="shared" si="0"/>
        <v>1996</v>
      </c>
      <c r="B7" s="11">
        <v>55</v>
      </c>
      <c r="C7" s="11">
        <v>83</v>
      </c>
      <c r="D7" s="11">
        <v>97</v>
      </c>
      <c r="E7" s="11">
        <v>104</v>
      </c>
      <c r="F7" s="11">
        <v>107</v>
      </c>
      <c r="G7" s="11">
        <v>109</v>
      </c>
      <c r="H7" s="11"/>
    </row>
    <row r="8" spans="1:8" ht="12.75">
      <c r="A8" s="5">
        <f t="shared" si="0"/>
        <v>1997</v>
      </c>
      <c r="B8" s="11">
        <v>63</v>
      </c>
      <c r="C8" s="11">
        <v>94</v>
      </c>
      <c r="D8" s="11">
        <v>110</v>
      </c>
      <c r="E8" s="11">
        <v>118</v>
      </c>
      <c r="F8" s="11">
        <v>122</v>
      </c>
      <c r="G8" s="11"/>
      <c r="H8" s="11"/>
    </row>
    <row r="9" spans="1:8" ht="12.75">
      <c r="A9" s="5">
        <f t="shared" si="0"/>
        <v>1998</v>
      </c>
      <c r="B9" s="11">
        <v>70</v>
      </c>
      <c r="C9" s="11">
        <v>105</v>
      </c>
      <c r="D9" s="11">
        <v>123</v>
      </c>
      <c r="E9" s="11">
        <v>131</v>
      </c>
      <c r="F9" s="11"/>
      <c r="G9" s="11"/>
      <c r="H9" s="11"/>
    </row>
    <row r="10" spans="1:8" ht="12.75">
      <c r="A10" s="5">
        <f t="shared" si="0"/>
        <v>1999</v>
      </c>
      <c r="B10" s="11">
        <v>80</v>
      </c>
      <c r="C10" s="11">
        <v>120</v>
      </c>
      <c r="D10" s="11">
        <v>141</v>
      </c>
      <c r="E10" s="11"/>
      <c r="F10" s="11"/>
      <c r="G10" s="11"/>
      <c r="H10" s="11"/>
    </row>
    <row r="11" spans="1:8" ht="12.75">
      <c r="A11" s="5">
        <f t="shared" si="0"/>
        <v>2000</v>
      </c>
      <c r="B11" s="11">
        <v>93</v>
      </c>
      <c r="C11" s="11">
        <v>139</v>
      </c>
      <c r="D11" s="11"/>
      <c r="E11" s="11"/>
      <c r="F11" s="11"/>
      <c r="G11" s="11"/>
      <c r="H11" s="11"/>
    </row>
    <row r="12" spans="1:8" ht="12.75">
      <c r="A12" s="5">
        <f>curryear</f>
        <v>2001</v>
      </c>
      <c r="B12" s="11">
        <v>105</v>
      </c>
      <c r="C12" s="11"/>
      <c r="D12" s="11"/>
      <c r="E12" s="11"/>
      <c r="F12" s="11"/>
      <c r="G12" s="11"/>
      <c r="H12" s="11"/>
    </row>
    <row r="13" spans="1:8" ht="12.75">
      <c r="A13" s="5"/>
      <c r="B13" s="1"/>
      <c r="C13" s="1"/>
      <c r="D13" s="1"/>
      <c r="E13" s="1"/>
      <c r="F13" s="1"/>
      <c r="G13" s="1"/>
      <c r="H13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9" sqref="A6:A9"/>
    </sheetView>
  </sheetViews>
  <sheetFormatPr defaultColWidth="9.140625" defaultRowHeight="12.75"/>
  <cols>
    <col min="1" max="1" width="10.57421875" style="3" customWidth="1"/>
    <col min="2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18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/>
      <c r="B4" s="6" t="s">
        <v>5</v>
      </c>
      <c r="C4" s="6"/>
      <c r="D4" s="6"/>
      <c r="E4" s="6"/>
      <c r="F4" s="6"/>
      <c r="G4" s="6"/>
      <c r="H4" s="6"/>
    </row>
    <row r="5" spans="1:8" ht="12.75">
      <c r="A5" s="7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39" t="s">
        <v>13</v>
      </c>
    </row>
    <row r="6" spans="1:8" ht="12.75">
      <c r="A6" s="5">
        <f>A7-1</f>
        <v>1995</v>
      </c>
      <c r="B6" s="23">
        <f>'Closed Claim Triangle'!C6/'Closed Claim Triangle'!B6</f>
        <v>1.5</v>
      </c>
      <c r="C6" s="23">
        <f>'Closed Claim Triangle'!D6/'Closed Claim Triangle'!C6</f>
        <v>1.1733333333333333</v>
      </c>
      <c r="D6" s="23">
        <f>'Closed Claim Triangle'!E6/'Closed Claim Triangle'!D6</f>
        <v>1.0681818181818181</v>
      </c>
      <c r="E6" s="23">
        <f>'Closed Claim Triangle'!F6/'Closed Claim Triangle'!E6</f>
        <v>1.0319148936170213</v>
      </c>
      <c r="F6" s="23">
        <f>'Closed Claim Triangle'!G6/'Closed Claim Triangle'!F6</f>
        <v>1.0206185567010309</v>
      </c>
      <c r="G6" s="23">
        <f>'Closed Claim Triangle'!H6/'Closed Claim Triangle'!G6</f>
        <v>1.0101010101010102</v>
      </c>
      <c r="H6" s="23">
        <v>1</v>
      </c>
    </row>
    <row r="7" spans="1:8" ht="12.75">
      <c r="A7" s="5">
        <f>A8-1</f>
        <v>1996</v>
      </c>
      <c r="B7" s="23">
        <f>'Closed Claim Triangle'!C7/'Closed Claim Triangle'!B7</f>
        <v>1.509090909090909</v>
      </c>
      <c r="C7" s="23">
        <f>'Closed Claim Triangle'!D7/'Closed Claim Triangle'!C7</f>
        <v>1.1686746987951808</v>
      </c>
      <c r="D7" s="23">
        <f>'Closed Claim Triangle'!E7/'Closed Claim Triangle'!D7</f>
        <v>1.0721649484536082</v>
      </c>
      <c r="E7" s="23">
        <f>'Closed Claim Triangle'!F7/'Closed Claim Triangle'!E7</f>
        <v>1.0288461538461537</v>
      </c>
      <c r="F7" s="23">
        <f>'Closed Claim Triangle'!G7/'Closed Claim Triangle'!F7</f>
        <v>1.0186915887850467</v>
      </c>
      <c r="G7" s="23"/>
      <c r="H7" s="1"/>
    </row>
    <row r="8" spans="1:8" ht="12.75">
      <c r="A8" s="5">
        <f>A9-1</f>
        <v>1997</v>
      </c>
      <c r="B8" s="23">
        <f>'Closed Claim Triangle'!C8/'Closed Claim Triangle'!B8</f>
        <v>1.492063492063492</v>
      </c>
      <c r="C8" s="23">
        <f>'Closed Claim Triangle'!D8/'Closed Claim Triangle'!C8</f>
        <v>1.1702127659574468</v>
      </c>
      <c r="D8" s="23">
        <f>'Closed Claim Triangle'!E8/'Closed Claim Triangle'!D8</f>
        <v>1.0727272727272728</v>
      </c>
      <c r="E8" s="23">
        <f>'Closed Claim Triangle'!F8/'Closed Claim Triangle'!E8</f>
        <v>1.0338983050847457</v>
      </c>
      <c r="F8" s="1"/>
      <c r="G8" s="1"/>
      <c r="H8" s="1"/>
    </row>
    <row r="9" spans="1:8" ht="12.75">
      <c r="A9" s="5">
        <f>A10-1</f>
        <v>1998</v>
      </c>
      <c r="B9" s="23">
        <f>'Closed Claim Triangle'!C9/'Closed Claim Triangle'!B9</f>
        <v>1.5</v>
      </c>
      <c r="C9" s="23">
        <f>'Closed Claim Triangle'!D9/'Closed Claim Triangle'!C9</f>
        <v>1.1714285714285715</v>
      </c>
      <c r="D9" s="23">
        <f>'Closed Claim Triangle'!E9/'Closed Claim Triangle'!D9</f>
        <v>1.065040650406504</v>
      </c>
      <c r="E9" s="1"/>
      <c r="F9" s="1"/>
      <c r="G9" s="1"/>
      <c r="H9" s="1"/>
    </row>
    <row r="10" spans="1:8" ht="12.75">
      <c r="A10" s="5">
        <f>A11-1</f>
        <v>1999</v>
      </c>
      <c r="B10" s="23">
        <f>'Closed Claim Triangle'!C10/'Closed Claim Triangle'!B10</f>
        <v>1.5</v>
      </c>
      <c r="C10" s="23">
        <f>'Closed Claim Triangle'!D10/'Closed Claim Triangle'!C10</f>
        <v>1.175</v>
      </c>
      <c r="D10" s="1"/>
      <c r="E10" s="1"/>
      <c r="F10" s="1"/>
      <c r="G10" s="1"/>
      <c r="H10" s="1"/>
    </row>
    <row r="11" spans="1:8" ht="12.75">
      <c r="A11" s="5">
        <f>curryear-1</f>
        <v>2000</v>
      </c>
      <c r="B11" s="23">
        <f>'Closed Claim Triangle'!C11/'Closed Claim Triangle'!B11</f>
        <v>1.4946236559139785</v>
      </c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21" t="s">
        <v>14</v>
      </c>
      <c r="B13" s="23">
        <f>AVERAGE(B9:B11)</f>
        <v>1.4982078853046594</v>
      </c>
      <c r="C13" s="23">
        <f>AVERAGE(C8:C10)</f>
        <v>1.1722137791286729</v>
      </c>
      <c r="D13" s="23">
        <f>AVERAGE(D7:D9)</f>
        <v>1.0699776238624616</v>
      </c>
      <c r="E13" s="23">
        <f>AVERAGE(E6:E8)</f>
        <v>1.0315531175159736</v>
      </c>
      <c r="F13" s="23">
        <f>AVERAGE(F6:F7)</f>
        <v>1.019655072743039</v>
      </c>
      <c r="G13" s="23">
        <f>G6</f>
        <v>1.0101010101010102</v>
      </c>
      <c r="H13" s="23">
        <f>H6</f>
        <v>1</v>
      </c>
    </row>
    <row r="14" spans="1:8" ht="12.75">
      <c r="A14" s="1" t="s">
        <v>15</v>
      </c>
      <c r="B14" s="23">
        <v>1.5</v>
      </c>
      <c r="C14" s="23">
        <v>1.172</v>
      </c>
      <c r="D14" s="23">
        <v>1.07</v>
      </c>
      <c r="E14" s="23">
        <v>1.032</v>
      </c>
      <c r="F14" s="23">
        <v>1.02</v>
      </c>
      <c r="G14" s="23">
        <v>1.01</v>
      </c>
      <c r="H14" s="23">
        <f>H13</f>
        <v>1</v>
      </c>
    </row>
    <row r="15" spans="1:8" ht="12.75">
      <c r="A15" s="1" t="s">
        <v>16</v>
      </c>
      <c r="B15" s="23">
        <f aca="true" t="shared" si="0" ref="B15:G15">B14*C15</f>
        <v>1.9998797883840003</v>
      </c>
      <c r="C15" s="23">
        <f t="shared" si="0"/>
        <v>1.3332531922560003</v>
      </c>
      <c r="D15" s="23">
        <f t="shared" si="0"/>
        <v>1.1375880480000002</v>
      </c>
      <c r="E15" s="23">
        <f t="shared" si="0"/>
        <v>1.0631664</v>
      </c>
      <c r="F15" s="23">
        <f t="shared" si="0"/>
        <v>1.0302</v>
      </c>
      <c r="G15" s="23">
        <f t="shared" si="0"/>
        <v>1.01</v>
      </c>
      <c r="H15" s="23">
        <f>H14</f>
        <v>1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 t="s">
        <v>19</v>
      </c>
      <c r="B17" s="17">
        <f>'Closed Claim Triangle'!B12</f>
        <v>105</v>
      </c>
      <c r="C17" s="17">
        <f>'Closed Claim Triangle'!C11</f>
        <v>139</v>
      </c>
      <c r="D17" s="17">
        <f>'Closed Claim Triangle'!D10</f>
        <v>141</v>
      </c>
      <c r="E17" s="17">
        <f>'Closed Claim Triangle'!E9</f>
        <v>131</v>
      </c>
      <c r="F17" s="17">
        <f>'Closed Claim Triangle'!F8</f>
        <v>122</v>
      </c>
      <c r="G17" s="17">
        <f>'Closed Claim Triangle'!G7</f>
        <v>109</v>
      </c>
      <c r="H17" s="17">
        <f>'Closed Claim Triangle'!H6</f>
        <v>100</v>
      </c>
    </row>
    <row r="18" spans="1:8" ht="12.75">
      <c r="A18" s="40" t="s">
        <v>17</v>
      </c>
      <c r="B18" s="41">
        <f aca="true" t="shared" si="1" ref="B18:H18">B15*B17</f>
        <v>209.98737778032003</v>
      </c>
      <c r="C18" s="41">
        <f t="shared" si="1"/>
        <v>185.32219372358404</v>
      </c>
      <c r="D18" s="41">
        <f t="shared" si="1"/>
        <v>160.39991476800003</v>
      </c>
      <c r="E18" s="41">
        <f t="shared" si="1"/>
        <v>139.2747984</v>
      </c>
      <c r="F18" s="41">
        <f t="shared" si="1"/>
        <v>125.6844</v>
      </c>
      <c r="G18" s="41">
        <f t="shared" si="1"/>
        <v>110.09</v>
      </c>
      <c r="H18" s="42">
        <f t="shared" si="1"/>
        <v>100</v>
      </c>
    </row>
    <row r="19" spans="1:8" ht="12.75">
      <c r="A19" s="5"/>
      <c r="B19" s="23"/>
      <c r="C19" s="23"/>
      <c r="D19" s="1"/>
      <c r="E19" s="1"/>
      <c r="F19" s="1"/>
      <c r="G19" s="1"/>
      <c r="H19" s="1"/>
    </row>
    <row r="20" spans="1:8" ht="12.75">
      <c r="A20" s="5"/>
      <c r="B20" s="23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36"/>
      <c r="B22" s="23"/>
      <c r="C22" s="23"/>
      <c r="D22" s="23"/>
      <c r="E22" s="23"/>
      <c r="F22" s="23"/>
      <c r="G22" s="23"/>
      <c r="H22" s="23"/>
    </row>
    <row r="23" spans="1:8" ht="12.75">
      <c r="A23" s="1"/>
      <c r="B23" s="23"/>
      <c r="C23" s="23"/>
      <c r="D23" s="23"/>
      <c r="E23" s="23"/>
      <c r="F23" s="23"/>
      <c r="G23" s="23"/>
      <c r="H23" s="23"/>
    </row>
    <row r="24" spans="1:8" ht="12.75">
      <c r="A24" s="1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7"/>
      <c r="C26" s="17"/>
      <c r="D26" s="17"/>
      <c r="E26" s="17"/>
      <c r="F26" s="17"/>
      <c r="G26" s="17"/>
      <c r="H26" s="17"/>
    </row>
    <row r="27" spans="1:8" ht="12.75">
      <c r="A27" s="43"/>
      <c r="B27" s="44"/>
      <c r="C27" s="44"/>
      <c r="D27" s="44"/>
      <c r="E27" s="44"/>
      <c r="F27" s="44"/>
      <c r="G27" s="44"/>
      <c r="H27" s="45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2:8" ht="12.75">
      <c r="B29" s="12"/>
      <c r="C29" s="12"/>
      <c r="D29" s="12"/>
      <c r="E29" s="12"/>
      <c r="F29" s="12"/>
      <c r="G29" s="12"/>
      <c r="H29" s="12"/>
    </row>
    <row r="30" ht="12.75">
      <c r="H3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6" sqref="A6"/>
    </sheetView>
  </sheetViews>
  <sheetFormatPr defaultColWidth="9.140625" defaultRowHeight="12.75"/>
  <cols>
    <col min="1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1</v>
      </c>
      <c r="C2" s="2"/>
      <c r="D2" s="2"/>
      <c r="E2" s="2"/>
      <c r="F2" s="2"/>
      <c r="G2" s="2"/>
      <c r="H2" s="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5" t="s">
        <v>2</v>
      </c>
      <c r="B4" s="6" t="s">
        <v>5</v>
      </c>
      <c r="C4" s="6"/>
      <c r="D4" s="6"/>
      <c r="E4" s="6"/>
      <c r="F4" s="6"/>
      <c r="G4" s="6"/>
      <c r="H4" s="6"/>
    </row>
    <row r="5" spans="1:9" ht="12.75">
      <c r="A5" s="7" t="s">
        <v>3</v>
      </c>
      <c r="B5" s="8">
        <v>12</v>
      </c>
      <c r="C5" s="8">
        <v>24</v>
      </c>
      <c r="D5" s="8">
        <v>36</v>
      </c>
      <c r="E5" s="8">
        <v>48</v>
      </c>
      <c r="F5" s="8">
        <v>60</v>
      </c>
      <c r="G5" s="8">
        <v>72</v>
      </c>
      <c r="H5" s="8">
        <v>84</v>
      </c>
      <c r="I5" s="38" t="s">
        <v>17</v>
      </c>
    </row>
    <row r="6" spans="1:9" ht="12.75">
      <c r="A6" s="5">
        <f aca="true" t="shared" si="0" ref="A6:A11">A7-1</f>
        <v>1995</v>
      </c>
      <c r="B6" s="11">
        <f>'Closed Claim Triangle'!B6</f>
        <v>50</v>
      </c>
      <c r="C6" s="11">
        <f>'Closed Claim Triangle'!C6</f>
        <v>75</v>
      </c>
      <c r="D6" s="67">
        <f>'Closed Claim Triangle'!D6</f>
        <v>88</v>
      </c>
      <c r="E6" s="11">
        <f>'Closed Claim Triangle'!E6</f>
        <v>94</v>
      </c>
      <c r="F6" s="11">
        <f>'Closed Claim Triangle'!F6</f>
        <v>97</v>
      </c>
      <c r="G6" s="11">
        <f>'Closed Claim Triangle'!G6</f>
        <v>99</v>
      </c>
      <c r="H6" s="11">
        <f>'Closed Claim Triangle'!H6</f>
        <v>100</v>
      </c>
      <c r="I6" s="54">
        <f>'Closed Claim Factors'!H18</f>
        <v>100</v>
      </c>
    </row>
    <row r="7" spans="1:9" ht="12.75">
      <c r="A7" s="5">
        <f t="shared" si="0"/>
        <v>1996</v>
      </c>
      <c r="B7" s="11">
        <f>'Closed Claim Triangle'!B7</f>
        <v>55</v>
      </c>
      <c r="C7" s="67">
        <f>'Closed Claim Triangle'!C7</f>
        <v>83</v>
      </c>
      <c r="D7" s="67">
        <f>'Closed Claim Triangle'!D7</f>
        <v>97</v>
      </c>
      <c r="E7" s="11">
        <f>'Closed Claim Triangle'!E7</f>
        <v>104</v>
      </c>
      <c r="F7" s="11">
        <f>'Closed Claim Triangle'!F7</f>
        <v>107</v>
      </c>
      <c r="G7" s="11">
        <f>'Closed Claim Triangle'!G7</f>
        <v>109</v>
      </c>
      <c r="H7" s="11"/>
      <c r="I7" s="54">
        <f>'Closed Claim Factors'!G18</f>
        <v>110.09</v>
      </c>
    </row>
    <row r="8" spans="1:9" ht="12.75">
      <c r="A8" s="5">
        <f t="shared" si="0"/>
        <v>1997</v>
      </c>
      <c r="B8" s="67">
        <f>'Closed Claim Triangle'!B8</f>
        <v>63</v>
      </c>
      <c r="C8" s="67">
        <f>'Closed Claim Triangle'!C8</f>
        <v>94</v>
      </c>
      <c r="D8" s="67">
        <f>'Closed Claim Triangle'!D8</f>
        <v>110</v>
      </c>
      <c r="E8" s="11">
        <f>'Closed Claim Triangle'!E8</f>
        <v>118</v>
      </c>
      <c r="F8" s="11">
        <f>'Closed Claim Triangle'!F8</f>
        <v>122</v>
      </c>
      <c r="G8" s="11"/>
      <c r="H8" s="11"/>
      <c r="I8" s="54">
        <f>'Closed Claim Factors'!F18</f>
        <v>125.6844</v>
      </c>
    </row>
    <row r="9" spans="1:9" ht="12.75">
      <c r="A9" s="5">
        <f t="shared" si="0"/>
        <v>1998</v>
      </c>
      <c r="B9" s="67">
        <f>'Closed Claim Triangle'!B9</f>
        <v>70</v>
      </c>
      <c r="C9" s="67">
        <f>'Closed Claim Triangle'!C9</f>
        <v>105</v>
      </c>
      <c r="D9" s="67">
        <f>'Closed Claim Triangle'!D9</f>
        <v>123</v>
      </c>
      <c r="E9" s="11">
        <f>'Closed Claim Triangle'!E9</f>
        <v>131</v>
      </c>
      <c r="F9" s="11"/>
      <c r="G9" s="11"/>
      <c r="H9" s="11"/>
      <c r="I9" s="54">
        <f>'Closed Claim Factors'!E18</f>
        <v>139.2747984</v>
      </c>
    </row>
    <row r="10" spans="1:9" ht="12.75">
      <c r="A10" s="5">
        <f t="shared" si="0"/>
        <v>1999</v>
      </c>
      <c r="B10" s="67">
        <f>'Closed Claim Triangle'!B10</f>
        <v>80</v>
      </c>
      <c r="C10" s="67">
        <f>'Closed Claim Triangle'!C10</f>
        <v>120</v>
      </c>
      <c r="D10" s="11">
        <f>'Closed Claim Triangle'!D10</f>
        <v>141</v>
      </c>
      <c r="E10" s="11"/>
      <c r="F10" s="11"/>
      <c r="G10" s="11"/>
      <c r="H10" s="11"/>
      <c r="I10" s="54">
        <f>'Closed Claim Factors'!D18</f>
        <v>160.39991476800003</v>
      </c>
    </row>
    <row r="11" spans="1:9" ht="12.75">
      <c r="A11" s="5">
        <f t="shared" si="0"/>
        <v>2000</v>
      </c>
      <c r="B11" s="67">
        <f>'Closed Claim Triangle'!B11</f>
        <v>93</v>
      </c>
      <c r="C11" s="11">
        <f>'Closed Claim Triangle'!C11</f>
        <v>139</v>
      </c>
      <c r="D11" s="11"/>
      <c r="E11" s="11"/>
      <c r="F11" s="11"/>
      <c r="G11" s="11"/>
      <c r="H11" s="11"/>
      <c r="I11" s="54">
        <f>'Closed Claim Factors'!C18</f>
        <v>185.32219372358404</v>
      </c>
    </row>
    <row r="12" spans="1:9" ht="12.75">
      <c r="A12" s="5">
        <f>curryear</f>
        <v>2001</v>
      </c>
      <c r="B12" s="11">
        <f>'Closed Claim Triangle'!B12</f>
        <v>105</v>
      </c>
      <c r="C12" s="11"/>
      <c r="D12" s="11"/>
      <c r="E12" s="1"/>
      <c r="F12" s="11"/>
      <c r="G12" s="11"/>
      <c r="H12" s="11"/>
      <c r="I12" s="54">
        <f>'Closed Claim Factors'!B18</f>
        <v>209.98737778032003</v>
      </c>
    </row>
    <row r="13" spans="1:9" ht="12.75">
      <c r="A13" s="5"/>
      <c r="B13" s="11"/>
      <c r="C13" s="11"/>
      <c r="D13" s="11"/>
      <c r="E13" s="1"/>
      <c r="F13" s="11"/>
      <c r="G13" s="11"/>
      <c r="H13" s="11"/>
      <c r="I13" s="17"/>
    </row>
    <row r="14" spans="1:9" ht="12.75">
      <c r="A14" s="5"/>
      <c r="B14" s="11"/>
      <c r="C14" s="11"/>
      <c r="D14" s="11"/>
      <c r="E14" s="1"/>
      <c r="F14" s="11"/>
      <c r="G14" s="11"/>
      <c r="H14" s="11"/>
      <c r="I14" s="17"/>
    </row>
    <row r="15" spans="1:8" ht="12.75">
      <c r="A15" s="5"/>
      <c r="B15" s="1"/>
      <c r="C15" s="1"/>
      <c r="D15" s="1"/>
      <c r="E15" s="1"/>
      <c r="F15" s="1"/>
      <c r="G15" s="1"/>
      <c r="H15" s="1"/>
    </row>
    <row r="16" spans="1:8" ht="12.75">
      <c r="A16" s="52"/>
      <c r="B16" s="55" t="s">
        <v>69</v>
      </c>
      <c r="C16" s="13"/>
      <c r="D16" s="13"/>
      <c r="E16" s="13"/>
      <c r="F16" s="13"/>
      <c r="G16" s="13"/>
      <c r="H16" s="39"/>
    </row>
    <row r="17" spans="1:8" ht="12.75">
      <c r="A17" s="5"/>
      <c r="B17" s="23"/>
      <c r="C17" s="23"/>
      <c r="D17" s="23"/>
      <c r="E17" s="23"/>
      <c r="F17" s="23"/>
      <c r="G17" s="23"/>
      <c r="H17" s="23"/>
    </row>
    <row r="18" spans="1:8" ht="12.75">
      <c r="A18" s="5"/>
      <c r="B18" s="23"/>
      <c r="C18" s="23"/>
      <c r="D18" s="23"/>
      <c r="E18" s="23"/>
      <c r="F18" s="23"/>
      <c r="G18" s="23"/>
      <c r="H18" s="1"/>
    </row>
    <row r="19" spans="1:8" ht="12.75">
      <c r="A19" s="5"/>
      <c r="B19" s="23"/>
      <c r="C19" s="23"/>
      <c r="D19" s="23"/>
      <c r="E19" s="23"/>
      <c r="F19" s="1"/>
      <c r="G19" s="1"/>
      <c r="H19" s="1"/>
    </row>
    <row r="20" spans="1:8" ht="12.75">
      <c r="A20" s="5"/>
      <c r="B20" s="23"/>
      <c r="C20" s="23"/>
      <c r="D20" s="23"/>
      <c r="E20" s="1"/>
      <c r="F20" s="1"/>
      <c r="G20" s="1"/>
      <c r="H20" s="1"/>
    </row>
    <row r="21" spans="1:8" ht="12.75">
      <c r="A21" s="5"/>
      <c r="B21" s="23"/>
      <c r="C21" s="23"/>
      <c r="D21" s="1"/>
      <c r="E21" s="1"/>
      <c r="F21" s="1"/>
      <c r="G21" s="1"/>
      <c r="H21" s="1"/>
    </row>
    <row r="22" spans="1:8" ht="12.75">
      <c r="A22" s="5"/>
      <c r="B22" s="23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36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23"/>
      <c r="C25" s="23"/>
      <c r="D25" s="23"/>
      <c r="E25" s="23"/>
      <c r="F25" s="23"/>
      <c r="G25" s="23"/>
      <c r="H25" s="23"/>
    </row>
    <row r="26" spans="1:8" ht="12.75">
      <c r="A26" s="1"/>
      <c r="B26" s="23"/>
      <c r="C26" s="23"/>
      <c r="D26" s="23"/>
      <c r="E26" s="23"/>
      <c r="F26" s="23"/>
      <c r="G26" s="23"/>
      <c r="H26" s="23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ht="12.75">
      <c r="H2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9.140625" style="3" customWidth="1"/>
    <col min="2" max="3" width="11.00390625" style="3" bestFit="1" customWidth="1"/>
    <col min="4" max="4" width="9.140625" style="3" customWidth="1"/>
    <col min="5" max="5" width="11.00390625" style="3" bestFit="1" customWidth="1"/>
    <col min="6" max="6" width="11.57421875" style="3" customWidth="1"/>
    <col min="7" max="16384" width="9.140625" style="3" customWidth="1"/>
  </cols>
  <sheetData>
    <row r="1" spans="1:8" ht="12.75">
      <c r="A1" s="1"/>
      <c r="B1" s="2" t="s">
        <v>0</v>
      </c>
      <c r="C1" s="2"/>
      <c r="D1" s="2"/>
      <c r="E1" s="2"/>
      <c r="F1" s="2"/>
      <c r="G1" s="2"/>
      <c r="H1" s="2"/>
    </row>
    <row r="2" spans="1:8" ht="12.75">
      <c r="A2" s="4"/>
      <c r="B2" s="2" t="s">
        <v>41</v>
      </c>
      <c r="C2" s="2"/>
      <c r="D2" s="2"/>
      <c r="E2" s="2"/>
      <c r="F2" s="2"/>
      <c r="G2" s="2"/>
      <c r="H2" s="2"/>
    </row>
    <row r="3" spans="1:8" ht="12.75">
      <c r="A3" s="4"/>
      <c r="B3" s="2"/>
      <c r="C3" s="2"/>
      <c r="D3" s="2"/>
      <c r="E3" s="2"/>
      <c r="F3" s="2"/>
      <c r="G3" s="2"/>
      <c r="H3" s="2"/>
    </row>
    <row r="4" spans="1:8" ht="12.75">
      <c r="A4" s="4"/>
      <c r="B4" s="2"/>
      <c r="C4" s="2"/>
      <c r="D4" s="2"/>
      <c r="E4" s="2"/>
      <c r="F4" s="2"/>
      <c r="G4" s="2"/>
      <c r="H4" s="2"/>
    </row>
    <row r="5" spans="1:8" ht="12.75">
      <c r="A5" s="4"/>
      <c r="B5" s="2"/>
      <c r="C5" s="2"/>
      <c r="D5" s="2"/>
      <c r="E5" s="2"/>
      <c r="F5" s="2"/>
      <c r="H5" s="2"/>
    </row>
    <row r="6" spans="1:9" ht="12.75">
      <c r="A6" s="5"/>
      <c r="B6" s="11"/>
      <c r="C6" s="11"/>
      <c r="E6" s="25" t="s">
        <v>22</v>
      </c>
      <c r="F6" s="25" t="s">
        <v>31</v>
      </c>
      <c r="G6" s="25" t="s">
        <v>29</v>
      </c>
      <c r="I6" s="24"/>
    </row>
    <row r="7" spans="1:8" ht="12.75">
      <c r="A7" s="5"/>
      <c r="B7" s="25" t="s">
        <v>22</v>
      </c>
      <c r="C7" s="25" t="s">
        <v>24</v>
      </c>
      <c r="D7" s="25" t="s">
        <v>22</v>
      </c>
      <c r="E7" s="25" t="s">
        <v>17</v>
      </c>
      <c r="F7" s="25" t="s">
        <v>32</v>
      </c>
      <c r="G7" s="25" t="s">
        <v>34</v>
      </c>
      <c r="H7" s="26" t="s">
        <v>37</v>
      </c>
    </row>
    <row r="8" spans="1:8" ht="12.75">
      <c r="A8" s="5" t="s">
        <v>2</v>
      </c>
      <c r="B8" s="25" t="s">
        <v>17</v>
      </c>
      <c r="C8" s="25" t="s">
        <v>25</v>
      </c>
      <c r="D8" s="25" t="s">
        <v>27</v>
      </c>
      <c r="E8" s="25" t="s">
        <v>29</v>
      </c>
      <c r="F8" s="25" t="s">
        <v>33</v>
      </c>
      <c r="G8" s="25" t="s">
        <v>35</v>
      </c>
      <c r="H8" s="26" t="s">
        <v>27</v>
      </c>
    </row>
    <row r="9" spans="1:8" ht="12.75">
      <c r="A9" s="5" t="s">
        <v>3</v>
      </c>
      <c r="B9" s="25" t="s">
        <v>23</v>
      </c>
      <c r="C9" s="25" t="s">
        <v>26</v>
      </c>
      <c r="D9" s="25" t="s">
        <v>28</v>
      </c>
      <c r="E9" s="25" t="s">
        <v>30</v>
      </c>
      <c r="F9" s="25" t="s">
        <v>26</v>
      </c>
      <c r="G9" s="25" t="s">
        <v>36</v>
      </c>
      <c r="H9" s="27" t="s">
        <v>38</v>
      </c>
    </row>
    <row r="10" spans="1:8" ht="12.75">
      <c r="A10" s="28" t="s">
        <v>39</v>
      </c>
      <c r="B10" s="25" t="s">
        <v>83</v>
      </c>
      <c r="C10" s="25" t="s">
        <v>84</v>
      </c>
      <c r="D10" s="30" t="s">
        <v>40</v>
      </c>
      <c r="E10" s="25" t="s">
        <v>85</v>
      </c>
      <c r="F10" s="25" t="s">
        <v>86</v>
      </c>
      <c r="G10" s="30" t="s">
        <v>96</v>
      </c>
      <c r="H10" s="29" t="s">
        <v>97</v>
      </c>
    </row>
    <row r="11" spans="1:8" ht="12.75">
      <c r="A11" s="5">
        <f>A12-1</f>
        <v>1995</v>
      </c>
      <c r="B11" s="31">
        <f>'Ult Paid Loss'!I6*1000</f>
        <v>119700</v>
      </c>
      <c r="C11" s="16">
        <f>'Ult Paid Loss'!D6*1000</f>
        <v>98200</v>
      </c>
      <c r="D11" s="16">
        <f>B11-C11</f>
        <v>21500</v>
      </c>
      <c r="E11" s="25">
        <f>'Ultimate Closed Claim'!I6</f>
        <v>100</v>
      </c>
      <c r="F11" s="25">
        <f>'Ultimate Closed Claim'!D6</f>
        <v>88</v>
      </c>
      <c r="G11" s="25">
        <f>E11-F11</f>
        <v>12</v>
      </c>
      <c r="H11" s="31">
        <f>D11/G11</f>
        <v>1791.6666666666667</v>
      </c>
    </row>
    <row r="12" spans="1:8" ht="12.75">
      <c r="A12" s="5">
        <f>A13-1</f>
        <v>1996</v>
      </c>
      <c r="B12" s="32">
        <f>'Ult Paid Loss'!I7*1000</f>
        <v>143820</v>
      </c>
      <c r="C12" s="17">
        <f>'Ult Paid Loss'!D7*1000</f>
        <v>118500</v>
      </c>
      <c r="D12" s="17">
        <f>B12-C12</f>
        <v>25320</v>
      </c>
      <c r="E12" s="25">
        <f>'Ultimate Closed Claim'!I7</f>
        <v>110.09</v>
      </c>
      <c r="F12" s="25">
        <f>'Ultimate Closed Claim'!D7</f>
        <v>97</v>
      </c>
      <c r="G12" s="25">
        <f>E12-F12</f>
        <v>13.090000000000003</v>
      </c>
      <c r="H12" s="32">
        <f>D12/G12</f>
        <v>1934.300993124522</v>
      </c>
    </row>
    <row r="13" spans="1:8" ht="12.75">
      <c r="A13" s="5">
        <f>A14-1</f>
        <v>1997</v>
      </c>
      <c r="B13" s="32">
        <f>'Ult Paid Loss'!I8*1000</f>
        <v>180524.69999999995</v>
      </c>
      <c r="C13" s="17">
        <f>'Ult Paid Loss'!D8*1000</f>
        <v>147000</v>
      </c>
      <c r="D13" s="17">
        <f>B13-C13</f>
        <v>33524.69999999995</v>
      </c>
      <c r="E13" s="25">
        <f>'Ultimate Closed Claim'!I8</f>
        <v>125.6844</v>
      </c>
      <c r="F13" s="25">
        <f>'Ultimate Closed Claim'!D8</f>
        <v>110</v>
      </c>
      <c r="G13" s="25">
        <f>E13-F13</f>
        <v>15.684399999999997</v>
      </c>
      <c r="H13" s="32">
        <f>D13/G13</f>
        <v>2137.4550508785774</v>
      </c>
    </row>
    <row r="14" spans="1:8" ht="12.75">
      <c r="A14" s="5">
        <f>curryear-3</f>
        <v>1998</v>
      </c>
      <c r="B14" s="32">
        <f>'Ult Paid Loss'!I9*1000</f>
        <v>218371.54499999998</v>
      </c>
      <c r="C14" s="17">
        <f>'Ult Paid Loss'!D9*1000</f>
        <v>180200</v>
      </c>
      <c r="D14" s="17">
        <f>B14-C14</f>
        <v>38171.544999999984</v>
      </c>
      <c r="E14" s="25">
        <f>'Ultimate Closed Claim'!I9</f>
        <v>139.2747984</v>
      </c>
      <c r="F14" s="25">
        <f>'Ultimate Closed Claim'!D9</f>
        <v>123</v>
      </c>
      <c r="G14" s="25">
        <f>E14-F14</f>
        <v>16.27479840000001</v>
      </c>
      <c r="H14" s="32">
        <f>D14/G14</f>
        <v>2345.43888420762</v>
      </c>
    </row>
    <row r="15" spans="1:8" ht="12.75">
      <c r="A15" s="5"/>
      <c r="B15" s="23"/>
      <c r="C15" s="23"/>
      <c r="D15" s="23"/>
      <c r="E15" s="23"/>
      <c r="F15" s="23"/>
      <c r="G15" s="23"/>
      <c r="H15" s="23"/>
    </row>
    <row r="16" spans="1:8" ht="12.75">
      <c r="A16" s="5"/>
      <c r="B16" s="23"/>
      <c r="C16" s="23"/>
      <c r="D16" s="23"/>
      <c r="E16" s="33" t="s">
        <v>112</v>
      </c>
      <c r="F16" s="34"/>
      <c r="G16" s="72">
        <f>A14+1</f>
        <v>1999</v>
      </c>
      <c r="H16" s="35">
        <f>'Fitted Payment 36 mo'!G34</f>
        <v>2561.4965924656863</v>
      </c>
    </row>
    <row r="17" spans="1:8" ht="12.75">
      <c r="A17" s="5"/>
      <c r="B17" s="23"/>
      <c r="C17" s="23"/>
      <c r="D17" s="23"/>
      <c r="E17" s="23"/>
      <c r="F17" s="1"/>
      <c r="G17" s="1"/>
      <c r="H17" s="1"/>
    </row>
    <row r="18" spans="1:8" ht="12.75">
      <c r="A18" s="5"/>
      <c r="B18" s="23"/>
      <c r="C18" s="23"/>
      <c r="D18" s="23"/>
      <c r="E18" s="1"/>
      <c r="F18" s="1"/>
      <c r="G18" s="1"/>
      <c r="H18" s="1"/>
    </row>
    <row r="19" spans="1:8" ht="12.75">
      <c r="A19" s="5"/>
      <c r="B19" s="23"/>
      <c r="C19" s="23"/>
      <c r="D19" s="1"/>
      <c r="E19" s="1"/>
      <c r="F19" s="1"/>
      <c r="G19" s="1"/>
      <c r="H19" s="1"/>
    </row>
    <row r="20" spans="1:8" ht="12.75">
      <c r="A20" s="5"/>
      <c r="B20" s="23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36"/>
      <c r="B22" s="23"/>
      <c r="C22" s="23"/>
      <c r="D22" s="23"/>
      <c r="E22" s="23"/>
      <c r="F22" s="23"/>
      <c r="G22" s="23"/>
      <c r="H22" s="23"/>
    </row>
    <row r="23" spans="1:8" ht="12.75">
      <c r="A23" s="1"/>
      <c r="B23" s="23"/>
      <c r="C23" s="23"/>
      <c r="D23" s="23"/>
      <c r="E23" s="23"/>
      <c r="F23" s="23"/>
      <c r="G23" s="23"/>
      <c r="H23" s="23"/>
    </row>
    <row r="24" spans="1:8" ht="12.75">
      <c r="A24" s="1"/>
      <c r="B24" s="23"/>
      <c r="C24" s="23"/>
      <c r="D24" s="23"/>
      <c r="E24" s="23"/>
      <c r="F24" s="23"/>
      <c r="G24" s="23"/>
      <c r="H24" s="23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4" t="s">
        <v>48</v>
      </c>
      <c r="B26" s="24"/>
      <c r="C26" s="24"/>
      <c r="D26" s="3" t="s">
        <v>50</v>
      </c>
      <c r="H26" s="12"/>
    </row>
    <row r="27" spans="1:6" ht="12.75">
      <c r="A27" s="3" t="s">
        <v>44</v>
      </c>
      <c r="B27" s="3">
        <f>SLOPE('Fitted Payment 36 mo'!H11:H14,'Fitted Payment 36 mo'!A30:A33)</f>
        <v>186.4470710374415</v>
      </c>
      <c r="E27" s="3" t="s">
        <v>44</v>
      </c>
      <c r="F27" s="3">
        <f>SLOPE(E30:E33,D30:D33)</f>
        <v>181.25031208918492</v>
      </c>
    </row>
    <row r="28" spans="1:6" ht="12.75">
      <c r="A28" s="3" t="s">
        <v>45</v>
      </c>
      <c r="B28" s="3">
        <f>INTERCEPT('Fitted Payment 36 mo'!H11:H14,'Fitted Payment 36 mo'!A30:A33)</f>
        <v>-370189.3619275326</v>
      </c>
      <c r="E28" s="3" t="s">
        <v>45</v>
      </c>
      <c r="F28" s="3">
        <f>INTERCEPT(E30:E33,D30:D33)</f>
        <v>-1369.7269481584774</v>
      </c>
    </row>
    <row r="29" spans="1:7" ht="12.75">
      <c r="A29" s="24"/>
      <c r="B29" s="24" t="s">
        <v>47</v>
      </c>
      <c r="C29" s="24"/>
      <c r="D29" s="3" t="s">
        <v>42</v>
      </c>
      <c r="E29" s="3" t="s">
        <v>43</v>
      </c>
      <c r="F29" s="3" t="s">
        <v>46</v>
      </c>
      <c r="G29" s="3" t="s">
        <v>49</v>
      </c>
    </row>
    <row r="30" spans="1:7" ht="12.75">
      <c r="A30" s="37">
        <f>'Fitted Payment 36 mo'!A11</f>
        <v>1995</v>
      </c>
      <c r="B30" s="24">
        <f>B$27*A30+B$28</f>
        <v>1772.5447921631858</v>
      </c>
      <c r="C30" s="24"/>
      <c r="D30" s="3">
        <f>LN(A30)</f>
        <v>7.598399329323964</v>
      </c>
      <c r="E30" s="3">
        <f>LN('Fitted Payment 36 mo'!H11)</f>
        <v>7.490901564327754</v>
      </c>
      <c r="F30" s="3">
        <f>F$27*D30+F$28</f>
        <v>7.485301659744437</v>
      </c>
      <c r="G30" s="3">
        <f>EXP(F30)</f>
        <v>1781.661544299339</v>
      </c>
    </row>
    <row r="31" spans="1:7" ht="12.75">
      <c r="A31" s="37">
        <f>A30+1</f>
        <v>1996</v>
      </c>
      <c r="B31" s="24">
        <f>B$27*A31+B$28</f>
        <v>1958.9918632006738</v>
      </c>
      <c r="C31" s="24"/>
      <c r="D31" s="3">
        <f>LN(A31)</f>
        <v>7.59890045687141</v>
      </c>
      <c r="E31" s="3">
        <f>LN('Fitted Payment 36 mo'!H12)</f>
        <v>7.567501296336304</v>
      </c>
      <c r="F31" s="3">
        <f>F$27*D31+F$28</f>
        <v>7.576131184115411</v>
      </c>
      <c r="G31" s="3">
        <f>EXP(F31)</f>
        <v>1951.0660297708098</v>
      </c>
    </row>
    <row r="32" spans="1:7" ht="12.75">
      <c r="A32" s="37">
        <f>A31+1</f>
        <v>1997</v>
      </c>
      <c r="B32" s="24">
        <f>B$27*A32+B$28</f>
        <v>2145.4389342381037</v>
      </c>
      <c r="C32" s="24"/>
      <c r="D32" s="3">
        <f>LN(A32)</f>
        <v>7.599401333415815</v>
      </c>
      <c r="E32" s="3">
        <f>LN('Fitted Payment 36 mo'!H13)</f>
        <v>7.66737117176107</v>
      </c>
      <c r="F32" s="3">
        <f>F$27*D32+F$28</f>
        <v>7.666915214107121</v>
      </c>
      <c r="G32" s="3">
        <f>EXP(F32)</f>
        <v>2136.480684040045</v>
      </c>
    </row>
    <row r="33" spans="1:7" ht="12.75">
      <c r="A33" s="37">
        <f>A14</f>
        <v>1998</v>
      </c>
      <c r="B33" s="24">
        <f>B$27*A33+B$28</f>
        <v>2331.8860052755335</v>
      </c>
      <c r="C33" s="24"/>
      <c r="D33" s="3">
        <f>LN(A33)</f>
        <v>7.599901959208498</v>
      </c>
      <c r="E33" s="3">
        <f>LN('Fitted Payment 36 mo'!H14)</f>
        <v>7.760227820813224</v>
      </c>
      <c r="F33" s="3">
        <f>F$27*D33+F$28</f>
        <v>7.757653795270926</v>
      </c>
      <c r="G33" s="3">
        <f>EXP(F33)</f>
        <v>2339.409427928072</v>
      </c>
    </row>
    <row r="34" spans="1:7" ht="12.75">
      <c r="A34" s="37">
        <f>A33+1</f>
        <v>1999</v>
      </c>
      <c r="B34" s="24">
        <f>B$27*A34+B$28</f>
        <v>2518.3330763129634</v>
      </c>
      <c r="C34" s="24"/>
      <c r="D34" s="3">
        <f>LN(A34)</f>
        <v>7.6004023345004</v>
      </c>
      <c r="F34" s="3">
        <f>F$27*D34+F$28</f>
        <v>7.848346973089747</v>
      </c>
      <c r="G34" s="3">
        <f>EXP(F34)</f>
        <v>2561.4965924656863</v>
      </c>
    </row>
    <row r="37" ht="12.75">
      <c r="A3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6.421875" style="3" customWidth="1"/>
    <col min="2" max="2" width="11.00390625" style="3" bestFit="1" customWidth="1"/>
    <col min="3" max="3" width="9.140625" style="3" customWidth="1"/>
    <col min="4" max="5" width="11.00390625" style="3" bestFit="1" customWidth="1"/>
    <col min="6" max="6" width="10.57421875" style="3" bestFit="1" customWidth="1"/>
    <col min="7" max="16384" width="9.140625" style="3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105</v>
      </c>
      <c r="B2" s="2"/>
      <c r="C2" s="2"/>
      <c r="D2" s="2"/>
      <c r="E2" s="2"/>
      <c r="F2" s="21">
        <f>curryear-2</f>
        <v>1999</v>
      </c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0" t="s">
        <v>39</v>
      </c>
      <c r="B5" s="21" t="s">
        <v>87</v>
      </c>
      <c r="C5" s="2"/>
      <c r="D5" s="2"/>
      <c r="E5" s="2"/>
      <c r="F5" s="22">
        <f>'Fitted Payment 36 mo'!H16</f>
        <v>2561.4965924656863</v>
      </c>
    </row>
    <row r="6" spans="1:5" ht="12.75">
      <c r="A6" s="20" t="s">
        <v>51</v>
      </c>
      <c r="B6" s="21" t="s">
        <v>88</v>
      </c>
      <c r="C6" s="2"/>
      <c r="D6" s="2"/>
      <c r="E6" s="2"/>
    </row>
    <row r="7" spans="1:6" ht="12.75">
      <c r="A7" s="23"/>
      <c r="B7" s="1" t="s">
        <v>52</v>
      </c>
      <c r="C7" s="1"/>
      <c r="D7" s="1"/>
      <c r="E7" s="1"/>
      <c r="F7" s="24">
        <f>'Ultimate Closed Claim'!I10-'Ultimate Closed Claim'!D10</f>
        <v>19.39991476800003</v>
      </c>
    </row>
    <row r="8" spans="1:6" ht="12.75">
      <c r="A8" s="20" t="s">
        <v>53</v>
      </c>
      <c r="B8" s="21" t="s">
        <v>54</v>
      </c>
      <c r="C8" s="2"/>
      <c r="D8" s="2"/>
      <c r="E8" s="2"/>
      <c r="F8" s="16">
        <f>F5*F7</f>
        <v>49692.81557235682</v>
      </c>
    </row>
    <row r="9" spans="1:6" ht="12.75">
      <c r="A9" s="20" t="s">
        <v>55</v>
      </c>
      <c r="B9" s="21" t="s">
        <v>89</v>
      </c>
      <c r="C9" s="23"/>
      <c r="D9" s="23"/>
      <c r="E9" s="23"/>
      <c r="F9" s="16">
        <f>'Ult Paid Loss'!D10*1000</f>
        <v>226400</v>
      </c>
    </row>
    <row r="10" spans="1:6" ht="12.75">
      <c r="A10" s="20" t="s">
        <v>56</v>
      </c>
      <c r="B10" s="21" t="s">
        <v>57</v>
      </c>
      <c r="C10" s="23"/>
      <c r="D10" s="23"/>
      <c r="E10" s="23"/>
      <c r="F10" s="16">
        <f>F8+F9</f>
        <v>276092.8155723568</v>
      </c>
    </row>
    <row r="11" spans="1:6" ht="12.75">
      <c r="A11" s="23"/>
      <c r="B11" s="23"/>
      <c r="C11" s="23"/>
      <c r="D11" s="23"/>
      <c r="E11" s="23"/>
      <c r="F11" s="16"/>
    </row>
    <row r="12" spans="1:6" ht="12.75">
      <c r="A12" s="1"/>
      <c r="B12" s="1"/>
      <c r="C12" s="1"/>
      <c r="D12" s="1"/>
      <c r="E12" s="1"/>
      <c r="F1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Computer Systems Support</cp:lastModifiedBy>
  <cp:lastPrinted>2002-06-20T15:41:53Z</cp:lastPrinted>
  <dcterms:created xsi:type="dcterms:W3CDTF">2000-03-15T15:19:22Z</dcterms:created>
  <dcterms:modified xsi:type="dcterms:W3CDTF">2001-04-06T18:38:13Z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