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1640" tabRatio="714" activeTab="0"/>
  </bookViews>
  <sheets>
    <sheet name="Notation" sheetId="1" r:id="rId1"/>
    <sheet name="Mack Exercises" sheetId="2" r:id="rId2"/>
    <sheet name="Mack Calc &amp; Last Ex" sheetId="3" r:id="rId3"/>
  </sheets>
  <definedNames>
    <definedName name="_Order1" hidden="1">255</definedName>
    <definedName name="add">#N/A</definedName>
    <definedName name="bias">#REF!</definedName>
    <definedName name="divide">#N/A</definedName>
    <definedName name="Files">#REF!</definedName>
    <definedName name="Frac">#REF!</definedName>
    <definedName name="Fraction">#REF!</definedName>
    <definedName name="multiply">#N/A</definedName>
    <definedName name="Paid">#REF!</definedName>
    <definedName name="_xlnm.Print_Area" localSheetId="1">'Mack Exercises'!$A$5:$K$28</definedName>
    <definedName name="private_source_checklist" hidden="1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32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olver_adj" localSheetId="1" hidden="1">'Mack Exercises'!#REF!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'Mack Exercises'!#REF!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sq">#REF!</definedName>
    <definedName name="subtract">#N/A</definedName>
    <definedName name="ult">#REF!</definedName>
    <definedName name="UltSev">#REF!</definedName>
    <definedName name="wrn.exhibits." hidden="1">{"clsd clms tri",#N/A,FALSE,"closed claims";"clsd clms dev",#N/A,FALSE,"closed claims";"rep clms tri",#N/A,FALSE,"reported claims";"rep clms dev",#N/A,FALSE,"reported claims";"other clms",#N/A,FALSE,"Other Claim Methods";"pd loss tri",#N/A,FALSE,"Paid Loss";"pd loss dev",#N/A,FALSE,"Paid Loss";"inc loss tri",#N/A,FALSE,"Inc Loss";"inc loss dev",#N/A,FALSE,"Inc Loss";"other loss methods",#N/A,FALSE,"Other loss Methods";"ult selection",#N/A,FALSE,"ultsel"}</definedName>
    <definedName name="Xset">#REF!</definedName>
    <definedName name="Y1_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<sst xmlns="http://schemas.openxmlformats.org/spreadsheetml/2006/main" count="287" uniqueCount="164">
  <si>
    <t>Cumulative Losses</t>
  </si>
  <si>
    <t>AY</t>
  </si>
  <si>
    <t>Incremental Losses</t>
  </si>
  <si>
    <t>Age-toAge factors</t>
  </si>
  <si>
    <t>Chain-Ladder Model</t>
  </si>
  <si>
    <t>c(1981,1)</t>
  </si>
  <si>
    <t>c(1982,2)</t>
  </si>
  <si>
    <t>c(1981,3)</t>
  </si>
  <si>
    <t>c(1981,2)</t>
  </si>
  <si>
    <t>c(1982,1)</t>
  </si>
  <si>
    <t>c(1983,1)</t>
  </si>
  <si>
    <t>Notation</t>
  </si>
  <si>
    <t>q(1981,2)</t>
  </si>
  <si>
    <t>q(1981,3)</t>
  </si>
  <si>
    <t>q(1982,1)</t>
  </si>
  <si>
    <t>q(1983,1)</t>
  </si>
  <si>
    <t>q(1981,1)</t>
  </si>
  <si>
    <t>q(1982,2)</t>
  </si>
  <si>
    <t>Age</t>
  </si>
  <si>
    <t>SAD</t>
  </si>
  <si>
    <t>WAD</t>
  </si>
  <si>
    <t>d</t>
  </si>
  <si>
    <t>Weighted Deviation</t>
  </si>
  <si>
    <t>(1)</t>
  </si>
  <si>
    <t>(2)</t>
  </si>
  <si>
    <t>(3)</t>
  </si>
  <si>
    <t>(4)</t>
  </si>
  <si>
    <t>(5)</t>
  </si>
  <si>
    <t>(6)</t>
  </si>
  <si>
    <t>ATU</t>
  </si>
  <si>
    <t>Incurred Losses</t>
  </si>
  <si>
    <t>LDF</t>
  </si>
  <si>
    <t>Ultimate</t>
  </si>
  <si>
    <t>alpha^2</t>
  </si>
  <si>
    <t>N-K-1</t>
  </si>
  <si>
    <t>Weighted Deviations</t>
  </si>
  <si>
    <t>(a)</t>
  </si>
  <si>
    <t>(b)</t>
  </si>
  <si>
    <t>©=(a)/(b)</t>
  </si>
  <si>
    <t>SUM</t>
  </si>
  <si>
    <t>Sum</t>
  </si>
  <si>
    <t>Paper</t>
  </si>
  <si>
    <t>Total</t>
  </si>
  <si>
    <t>(7)</t>
  </si>
  <si>
    <t>Step 1:</t>
  </si>
  <si>
    <t>Data</t>
  </si>
  <si>
    <t>Step 2:</t>
  </si>
  <si>
    <t>Development Factors</t>
  </si>
  <si>
    <t>Step 3:</t>
  </si>
  <si>
    <t>Ultimate Amounts</t>
  </si>
  <si>
    <t>Step 4:</t>
  </si>
  <si>
    <t>Reserves</t>
  </si>
  <si>
    <t>Step 5:</t>
  </si>
  <si>
    <t>Factor Variances</t>
  </si>
  <si>
    <t>Step 6:</t>
  </si>
  <si>
    <t>Step 7:</t>
  </si>
  <si>
    <t>Future Projections</t>
  </si>
  <si>
    <t>Step 8:</t>
  </si>
  <si>
    <t>Mean Square Error</t>
  </si>
  <si>
    <t>Step 9:</t>
  </si>
  <si>
    <t>Overall Mean Square Error</t>
  </si>
  <si>
    <r>
      <t>MSE(R</t>
    </r>
    <r>
      <rPr>
        <sz val="10"/>
        <rFont val="Arial"/>
        <family val="0"/>
      </rPr>
      <t>)</t>
    </r>
  </si>
  <si>
    <r>
      <t>SE(R</t>
    </r>
    <r>
      <rPr>
        <sz val="10"/>
        <rFont val="Arial"/>
        <family val="0"/>
      </rPr>
      <t>)</t>
    </r>
  </si>
  <si>
    <t>Year</t>
  </si>
  <si>
    <t>Reserve</t>
  </si>
  <si>
    <t>SE</t>
  </si>
  <si>
    <t>Accident
Year</t>
  </si>
  <si>
    <r>
      <t>c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,1)</t>
    </r>
  </si>
  <si>
    <r>
      <t>[(3) - 2.999]</t>
    </r>
    <r>
      <rPr>
        <vertAlign val="superscript"/>
        <sz val="10"/>
        <rFont val="Times New Roman"/>
        <family val="1"/>
      </rPr>
      <t>2</t>
    </r>
  </si>
  <si>
    <t>(2) x (4)</t>
  </si>
  <si>
    <r>
      <t xml:space="preserve">Computation of </t>
    </r>
    <r>
      <rPr>
        <i/>
        <sz val="10"/>
        <rFont val="Times New Roman"/>
        <family val="1"/>
      </rPr>
      <t>Standard Error</t>
    </r>
    <r>
      <rPr>
        <sz val="10"/>
        <rFont val="Times New Roman"/>
        <family val="1"/>
      </rPr>
      <t xml:space="preserve"> of Ultimate for AY 1990</t>
    </r>
  </si>
  <si>
    <t>(8)</t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</si>
  <si>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</si>
  <si>
    <r>
      <t>Sigma</t>
    </r>
    <r>
      <rPr>
        <vertAlign val="superscript"/>
        <sz val="10"/>
        <rFont val="Times New Roman"/>
        <family val="1"/>
      </rPr>
      <t>2</t>
    </r>
  </si>
  <si>
    <t>(3) / (2)^2</t>
  </si>
  <si>
    <r>
      <t>E</t>
    </r>
    <r>
      <rPr>
        <sz val="10"/>
        <rFont val="Times New Roman"/>
        <family val="1"/>
      </rPr>
      <t>[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(1,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)]</t>
    </r>
  </si>
  <si>
    <r>
      <t>SUM[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)]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</si>
  <si>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</si>
  <si>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————</t>
  </si>
  <si>
    <r>
      <t>E</t>
    </r>
    <r>
      <rPr>
        <sz val="10"/>
        <rFont val="Times New Roman"/>
        <family val="1"/>
      </rPr>
      <t>[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(1,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)]     SUM</t>
    </r>
  </si>
  <si>
    <t>————  +  ——</t>
  </si>
  <si>
    <t>1/(5) + 1/(6)</t>
  </si>
  <si>
    <t>(4) x (7)</t>
  </si>
  <si>
    <t>x   ————</t>
  </si>
  <si>
    <r>
      <t xml:space="preserve">     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</si>
  <si>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 xml:space="preserve">     Sigma</t>
    </r>
    <r>
      <rPr>
        <vertAlign val="superscript"/>
        <sz val="10"/>
        <rFont val="Times New Roman"/>
        <family val="1"/>
      </rPr>
      <t>2</t>
    </r>
  </si>
  <si>
    <t>Sum =</t>
  </si>
  <si>
    <r>
      <t>SE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Sum =</t>
    </r>
  </si>
  <si>
    <r>
      <t>SE</t>
    </r>
    <r>
      <rPr>
        <sz val="10"/>
        <rFont val="Times New Roman"/>
        <family val="1"/>
      </rPr>
      <t xml:space="preserve"> =</t>
    </r>
  </si>
  <si>
    <t xml:space="preserve">         1               1</t>
  </si>
  <si>
    <t>Age-to-Age Factors</t>
  </si>
  <si>
    <t>F(1981,1)</t>
  </si>
  <si>
    <t>F(1981,2)</t>
  </si>
  <si>
    <t>F(1982,1)</t>
  </si>
  <si>
    <t>Mean</t>
  </si>
  <si>
    <t>F(1)</t>
  </si>
  <si>
    <t>F(2)</t>
  </si>
  <si>
    <t>IBNR</t>
  </si>
  <si>
    <t>Unweighted Squared deviation of Age-toAge factors</t>
  </si>
  <si>
    <t>Avg Var</t>
  </si>
  <si>
    <t>Weighted Squared deviation of Age-toAge factors</t>
  </si>
  <si>
    <t>Sum for Wt-&gt;</t>
  </si>
  <si>
    <t>Sum Weights</t>
  </si>
  <si>
    <t>Weighted Var</t>
  </si>
  <si>
    <t>Weighted SD</t>
  </si>
  <si>
    <t>Avg SD</t>
  </si>
  <si>
    <t>Weights</t>
  </si>
  <si>
    <t>Weighted LDF</t>
  </si>
  <si>
    <t>SumSquared</t>
  </si>
  <si>
    <r>
      <t>σ</t>
    </r>
    <r>
      <rPr>
        <vertAlign val="superscript"/>
        <sz val="10"/>
        <rFont val="Times New Roman"/>
        <family val="1"/>
      </rPr>
      <t>2</t>
    </r>
  </si>
  <si>
    <t>F(age)</t>
  </si>
  <si>
    <r>
      <t>σ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Times New Roman"/>
        <family val="1"/>
      </rPr>
      <t>age</t>
    </r>
  </si>
  <si>
    <r>
      <t>σ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Times New Roman"/>
        <family val="1"/>
      </rPr>
      <t xml:space="preserve">age / </t>
    </r>
    <r>
      <rPr>
        <sz val="10"/>
        <rFont val="Times New Roman"/>
        <family val="1"/>
      </rPr>
      <t>F(d)</t>
    </r>
    <r>
      <rPr>
        <vertAlign val="superscript"/>
        <sz val="10"/>
        <rFont val="Times New Roman"/>
        <family val="1"/>
      </rPr>
      <t>2</t>
    </r>
  </si>
  <si>
    <t>Diagonal loss</t>
  </si>
  <si>
    <t>Variance for Specific Year</t>
  </si>
  <si>
    <t>Estimated Cumulative Losses</t>
  </si>
  <si>
    <t>E(c,1,d)</t>
  </si>
  <si>
    <t>SUM(c(j,d)</t>
  </si>
  <si>
    <r>
      <t xml:space="preserve">Computation of </t>
    </r>
    <r>
      <rPr>
        <i/>
        <sz val="10"/>
        <rFont val="Times New Roman"/>
        <family val="1"/>
      </rPr>
      <t>Standard Error</t>
    </r>
    <r>
      <rPr>
        <sz val="10"/>
        <rFont val="Times New Roman"/>
        <family val="1"/>
      </rPr>
      <t xml:space="preserve"> of Ultimate for AY 1983</t>
    </r>
  </si>
  <si>
    <r>
      <t>U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) =</t>
    </r>
  </si>
  <si>
    <t>Cumulative Sum</t>
  </si>
  <si>
    <r>
      <t>SE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U(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Sum =</t>
    </r>
  </si>
  <si>
    <t>95th Percentile</t>
  </si>
  <si>
    <t>Factor Squared Deviations</t>
  </si>
  <si>
    <r>
      <t xml:space="preserve">Computation of </t>
    </r>
    <r>
      <rPr>
        <i/>
        <sz val="10"/>
        <rFont val="Times New Roman"/>
        <family val="1"/>
      </rPr>
      <t>Sigma</t>
    </r>
    <r>
      <rPr>
        <i/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for Development Age 1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</si>
  <si>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,1)</t>
    </r>
  </si>
  <si>
    <r>
      <t>[</t>
    </r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 xml:space="preserve">,1) - </t>
    </r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(1)]</t>
    </r>
    <r>
      <rPr>
        <vertAlign val="superscript"/>
        <sz val="10"/>
        <rFont val="Times New Roman"/>
        <family val="1"/>
      </rPr>
      <t>2</t>
    </r>
  </si>
  <si>
    <r>
      <t>Average [</t>
    </r>
    <r>
      <rPr>
        <i/>
        <sz val="10"/>
        <rFont val="Times New Roman"/>
        <family val="1"/>
      </rPr>
      <t>F(1)</t>
    </r>
    <r>
      <rPr>
        <sz val="10"/>
        <rFont val="Times New Roman"/>
        <family val="1"/>
      </rPr>
      <t>]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</si>
  <si>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</si>
  <si>
    <r>
      <t>Sigma</t>
    </r>
    <r>
      <rPr>
        <i/>
        <vertAlign val="subscript"/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</si>
  <si>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</si>
  <si>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 xml:space="preserve">     Sigma</t>
    </r>
    <r>
      <rPr>
        <i/>
        <vertAlign val="subscript"/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</si>
  <si>
    <r>
      <t xml:space="preserve">     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</si>
  <si>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Components of Variance Calculation for Variance of Unpaid for 1 Year</t>
  </si>
  <si>
    <t>Answers to:</t>
  </si>
  <si>
    <r>
      <t xml:space="preserve">Computation of </t>
    </r>
    <r>
      <rPr>
        <i/>
        <sz val="10"/>
        <rFont val="Times New Roman"/>
        <family val="1"/>
      </rPr>
      <t>Standard Error</t>
    </r>
    <r>
      <rPr>
        <sz val="10"/>
        <rFont val="Times New Roman"/>
        <family val="1"/>
      </rPr>
      <t xml:space="preserve"> of Ultimate for AY 1989</t>
    </r>
  </si>
  <si>
    <t>Gamma beta</t>
  </si>
  <si>
    <t>Gamma alpha</t>
  </si>
  <si>
    <t>1/Beta</t>
  </si>
  <si>
    <r>
      <t>c(</t>
    </r>
    <r>
      <rPr>
        <i/>
        <sz val="10"/>
        <rFont val="Arial Narrow"/>
        <family val="2"/>
      </rPr>
      <t>w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</si>
  <si>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d</t>
    </r>
    <r>
      <rPr>
        <sz val="10"/>
        <rFont val="Arial"/>
        <family val="2"/>
      </rPr>
      <t xml:space="preserve"> = Development Year</t>
    </r>
  </si>
  <si>
    <r>
      <t>w</t>
    </r>
    <r>
      <rPr>
        <sz val="10"/>
        <rFont val="Arial"/>
        <family val="0"/>
      </rPr>
      <t xml:space="preserve"> = Acc Yr</t>
    </r>
  </si>
  <si>
    <r>
      <t>F(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</si>
  <si>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c(</t>
    </r>
    <r>
      <rPr>
        <i/>
        <sz val="10"/>
        <rFont val="Arial Narrow"/>
        <family val="2"/>
      </rPr>
      <t>w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</si>
  <si>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w</t>
  </si>
  <si>
    <r>
      <t>R</t>
    </r>
    <r>
      <rPr>
        <i/>
        <vertAlign val="subscript"/>
        <sz val="10"/>
        <rFont val="Arial"/>
        <family val="2"/>
      </rPr>
      <t>w</t>
    </r>
  </si>
  <si>
    <r>
      <t>Sigma</t>
    </r>
    <r>
      <rPr>
        <i/>
        <vertAlign val="subscript"/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</si>
  <si>
    <r>
      <t>[Sum c(</t>
    </r>
    <r>
      <rPr>
        <i/>
        <sz val="10"/>
        <rFont val="Arial"/>
        <family val="2"/>
      </rPr>
      <t>w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)]</t>
    </r>
  </si>
  <si>
    <r>
      <t>E[c(</t>
    </r>
    <r>
      <rPr>
        <i/>
        <sz val="10"/>
        <rFont val="Arial Narrow"/>
        <family val="2"/>
      </rPr>
      <t>w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)]</t>
    </r>
  </si>
  <si>
    <r>
      <t>E[c(</t>
    </r>
    <r>
      <rPr>
        <i/>
        <sz val="10"/>
        <rFont val="Arial Narrow"/>
        <family val="2"/>
      </rPr>
      <t>w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)]</t>
    </r>
  </si>
  <si>
    <r>
      <t>MSE(R</t>
    </r>
    <r>
      <rPr>
        <i/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</si>
  <si>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r>
      <t>SE(R</t>
    </r>
    <r>
      <rPr>
        <i/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</si>
  <si>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Assuming Independence ==&gt;</t>
  </si>
  <si>
    <t>Assuming 100% Correlation ==&gt;</t>
  </si>
  <si>
    <t>Mack Overall Mean Square Error ==&gt;</t>
  </si>
  <si>
    <t>N = n =</t>
  </si>
  <si>
    <r>
      <t>Sigma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Sum / (N-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-1) =</t>
    </r>
  </si>
  <si>
    <r>
      <t>Var</t>
    </r>
    <r>
      <rPr>
        <sz val="10"/>
        <rFont val="Times New Roman"/>
        <family val="1"/>
      </rPr>
      <t>[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] = </t>
    </r>
    <r>
      <rPr>
        <i/>
        <sz val="10"/>
        <rFont val="Times New Roman"/>
        <family val="1"/>
      </rPr>
      <t>U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Sum =</t>
    </r>
  </si>
  <si>
    <t>N-d-1</t>
  </si>
  <si>
    <t>Slide Set II</t>
  </si>
  <si>
    <t>Slide II.9</t>
  </si>
  <si>
    <t>Question on II.19</t>
  </si>
  <si>
    <t>Slide II.19</t>
  </si>
  <si>
    <t>Question on II.25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</si>
</sst>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_(* #,##0.0000_);_(* \(#,##0.0000\);_(* &quot;-&quot;??_);_(@_)"/>
    <numFmt numFmtId="168" formatCode="#,##0.000"/>
    <numFmt numFmtId="169" formatCode="#,##0.00,,"/>
    <numFmt numFmtId="170" formatCode="#,##0.000,,"/>
    <numFmt numFmtId="171" formatCode="#,##0.0_);\(#,##0.0\)"/>
    <numFmt numFmtId="172" formatCode="_(* #,##0_);_(* \(#,##0\);_(* &quot;-&quot;???_);_(@_)"/>
    <numFmt numFmtId="173" formatCode="_(* #,##0_);_(* \(#,##0\);_(* &quot;-&quot;????_);_(@_)"/>
    <numFmt numFmtId="174" formatCode="#,##0.0"/>
    <numFmt numFmtId="175" formatCode="#,##0.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* #,##0.0_);_(* \(#,##0.0\);_(* &quot;-&quot;??_);_(@_)"/>
    <numFmt numFmtId="182" formatCode="_(* #,##0.000_);_(* \(#,##0.000\);_(* &quot;-&quot;??_);_(@_)"/>
    <numFmt numFmtId="183" formatCode="_(* #,##0.000_);_(* \(#,##0.000\);_(* &quot;-&quot;???_);_(@_)"/>
    <numFmt numFmtId="184" formatCode="#,##0.0000,,"/>
    <numFmt numFmtId="185" formatCode="#,##0.00000,,"/>
    <numFmt numFmtId="186" formatCode="#,##0.000000,,"/>
    <numFmt numFmtId="187" formatCode="#,##0.0000000,,"/>
    <numFmt numFmtId="188" formatCode="_(* #,##0.00000_);_(* \(#,##0.00000\);_(* &quot;-&quot;?????_);_(@_)"/>
    <numFmt numFmtId="189" formatCode="_(* #,##0.00000_);_(* \(#,##0.00000\);_(* &quot;-&quot;??_);_(@_)"/>
    <numFmt numFmtId="190" formatCode="_(* #,##0.0_);_(* \(#,##0.0\);_(* &quot;-&quot;?_);_(@_)"/>
    <numFmt numFmtId="191" formatCode="_(* #,##0.000000_);_(* \(#,##0.0000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yyyy"/>
    <numFmt numFmtId="201" formatCode="mm\-yy"/>
    <numFmt numFmtId="202" formatCode="0.0%"/>
    <numFmt numFmtId="203" formatCode="mm/dd/yy"/>
    <numFmt numFmtId="204" formatCode="_(* #,##0.0000000_);_(* \(#,##0.0000000\);_(* &quot;-&quot;??_);_(@_)"/>
    <numFmt numFmtId="205" formatCode="\(0\)"/>
    <numFmt numFmtId="206" formatCode="_(* #,##0.0000000_);_(* \(#,##0.0000000\);_(* &quot;-&quot;???????_);_(@_)"/>
    <numFmt numFmtId="207" formatCode="#,##0.000_);[Red]\(#,##0.000\)"/>
    <numFmt numFmtId="208" formatCode="#,##0.0000_);[Red]\(#,##0.0000\)"/>
    <numFmt numFmtId="209" formatCode="#,##0.0_);[Red]\(#,##0.0\)"/>
    <numFmt numFmtId="210" formatCode="#,##0.00000_);[Red]\(#,##0.00000\)"/>
    <numFmt numFmtId="211" formatCode="#,##0.000000_);[Red]\(#,##0.000000\)"/>
    <numFmt numFmtId="212" formatCode="#,##0.0000000_);[Red]\(#,##0.0000000\)"/>
    <numFmt numFmtId="213" formatCode="#,##0.00000000_);[Red]\(#,##0.00000000\)"/>
    <numFmt numFmtId="214" formatCode="_(* #,##0.0000_);_(* \(#,##0.0000\);_(* &quot;-&quot;??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00000000"/>
    <numFmt numFmtId="220" formatCode="#,##0.0000000000"/>
  </numFmts>
  <fonts count="28">
    <font>
      <sz val="10"/>
      <name val="Arial Narrow"/>
      <family val="0"/>
    </font>
    <font>
      <u val="single"/>
      <sz val="10"/>
      <color indexed="36"/>
      <name val="Arial Narrow"/>
      <family val="0"/>
    </font>
    <font>
      <u val="single"/>
      <sz val="10"/>
      <color indexed="12"/>
      <name val="Arial Narrow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Narrow"/>
      <family val="0"/>
    </font>
    <font>
      <b/>
      <sz val="18"/>
      <color indexed="18"/>
      <name val="Arial"/>
      <family val="0"/>
    </font>
    <font>
      <sz val="10"/>
      <color indexed="18"/>
      <name val="Arial"/>
      <family val="0"/>
    </font>
    <font>
      <sz val="16"/>
      <color indexed="18"/>
      <name val="Arial"/>
      <family val="0"/>
    </font>
    <font>
      <sz val="10"/>
      <color indexed="21"/>
      <name val="MS Sans Serif"/>
      <family val="0"/>
    </font>
    <font>
      <sz val="10"/>
      <name val="MS Sans Serif"/>
      <family val="0"/>
    </font>
    <font>
      <sz val="12"/>
      <color indexed="18"/>
      <name val="Arial"/>
      <family val="0"/>
    </font>
    <font>
      <sz val="8"/>
      <name val="MS Sans Serif"/>
      <family val="0"/>
    </font>
    <font>
      <b/>
      <sz val="10"/>
      <color indexed="10"/>
      <name val="Helv"/>
      <family val="0"/>
    </font>
    <font>
      <b/>
      <i/>
      <sz val="10"/>
      <color indexed="10"/>
      <name val="Helv"/>
      <family val="0"/>
    </font>
    <font>
      <b/>
      <sz val="10"/>
      <color indexed="18"/>
      <name val="Arial"/>
      <family val="0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i/>
      <sz val="10"/>
      <name val="Arial"/>
      <family val="2"/>
    </font>
    <font>
      <i/>
      <sz val="10"/>
      <name val="Arial Narrow"/>
      <family val="2"/>
    </font>
    <font>
      <i/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lightGray">
        <fgColor indexed="13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7" fillId="0" borderId="0" applyFont="0" applyFill="0" applyBorder="0" applyAlignment="0" applyProtection="0"/>
    <xf numFmtId="0" fontId="7" fillId="2" borderId="0" applyBorder="0">
      <alignment horizontal="left"/>
      <protection locked="0"/>
    </xf>
    <xf numFmtId="0" fontId="11" fillId="3" borderId="0" applyNumberFormat="0" applyBorder="0">
      <alignment horizontal="centerContinuous"/>
      <protection locked="0"/>
    </xf>
    <xf numFmtId="201" fontId="12" fillId="4" borderId="0" applyBorder="0">
      <alignment horizontal="center"/>
      <protection locked="0"/>
    </xf>
    <xf numFmtId="3" fontId="12" fillId="3" borderId="0" applyBorder="0">
      <alignment horizontal="right"/>
      <protection locked="0"/>
    </xf>
    <xf numFmtId="0" fontId="13" fillId="4" borderId="0" applyNumberFormat="0" applyBorder="0">
      <alignment horizontal="centerContinuous"/>
      <protection locked="0"/>
    </xf>
    <xf numFmtId="200" fontId="12" fillId="5" borderId="0" applyBorder="0">
      <alignment horizontal="center"/>
      <protection locked="0"/>
    </xf>
    <xf numFmtId="201" fontId="7" fillId="3" borderId="1" applyNumberFormat="0" applyFont="0" applyFill="0" applyAlignment="0" applyProtection="0"/>
    <xf numFmtId="3" fontId="12" fillId="2" borderId="0" applyBorder="0">
      <alignment horizontal="right"/>
      <protection locked="0"/>
    </xf>
    <xf numFmtId="201" fontId="14" fillId="0" borderId="0" applyFont="0" applyFill="0" applyBorder="0" applyAlignment="0" applyProtection="0"/>
    <xf numFmtId="201" fontId="14" fillId="0" borderId="0" applyFont="0" applyFill="0" applyBorder="0" applyAlignment="0">
      <protection locked="0"/>
    </xf>
    <xf numFmtId="201" fontId="14" fillId="0" borderId="0" applyFont="0" applyFill="0" applyBorder="0" applyAlignment="0" applyProtection="0"/>
    <xf numFmtId="3" fontId="12" fillId="4" borderId="0" applyBorder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6" fillId="4" borderId="0" applyBorder="0">
      <alignment horizontal="center"/>
      <protection locked="0"/>
    </xf>
    <xf numFmtId="0" fontId="1" fillId="0" borderId="0" applyNumberFormat="0" applyFill="0" applyBorder="0" applyAlignment="0" applyProtection="0"/>
    <xf numFmtId="0" fontId="17" fillId="6" borderId="2" applyFont="0" applyBorder="0" applyAlignment="0"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Protection="0">
      <alignment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3" fontId="20" fillId="3" borderId="0" applyBorder="0">
      <alignment horizontal="center"/>
      <protection locked="0"/>
    </xf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" fontId="6" fillId="0" borderId="0" xfId="28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4" fillId="0" borderId="0" xfId="38" applyNumberFormat="1" applyFont="1" applyFill="1" applyBorder="1">
      <alignment/>
    </xf>
    <xf numFmtId="0" fontId="4" fillId="0" borderId="0" xfId="38" applyFont="1" applyFill="1" applyBorder="1">
      <alignment/>
    </xf>
    <xf numFmtId="0" fontId="0" fillId="0" borderId="0" xfId="0" applyFont="1" applyFill="1" applyAlignment="1">
      <alignment/>
    </xf>
    <xf numFmtId="182" fontId="4" fillId="0" borderId="0" xfId="28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28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182" fontId="4" fillId="0" borderId="4" xfId="28" applyNumberFormat="1" applyFont="1" applyBorder="1" applyAlignment="1">
      <alignment/>
    </xf>
    <xf numFmtId="182" fontId="4" fillId="0" borderId="0" xfId="28" applyNumberFormat="1" applyFont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81" fontId="4" fillId="0" borderId="0" xfId="28" applyNumberFormat="1" applyFont="1" applyBorder="1" applyAlignment="1">
      <alignment/>
    </xf>
    <xf numFmtId="164" fontId="4" fillId="0" borderId="0" xfId="28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28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7" borderId="0" xfId="0" applyFill="1" applyAlignment="1">
      <alignment/>
    </xf>
    <xf numFmtId="43" fontId="0" fillId="7" borderId="0" xfId="0" applyNumberFormat="1" applyFill="1" applyAlignment="1">
      <alignment/>
    </xf>
    <xf numFmtId="0" fontId="4" fillId="7" borderId="0" xfId="0" applyFont="1" applyFill="1" applyBorder="1" applyAlignment="1">
      <alignment/>
    </xf>
    <xf numFmtId="164" fontId="0" fillId="0" borderId="0" xfId="28" applyNumberFormat="1" applyAlignment="1">
      <alignment/>
    </xf>
    <xf numFmtId="164" fontId="4" fillId="7" borderId="0" xfId="28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37">
      <alignment/>
      <protection/>
    </xf>
    <xf numFmtId="0" fontId="7" fillId="0" borderId="0" xfId="37" applyAlignment="1">
      <alignment horizontal="right"/>
      <protection/>
    </xf>
    <xf numFmtId="3" fontId="7" fillId="0" borderId="0" xfId="37" applyNumberFormat="1">
      <alignment/>
      <protection/>
    </xf>
    <xf numFmtId="208" fontId="7" fillId="0" borderId="0" xfId="30" applyNumberFormat="1" applyAlignment="1">
      <alignment/>
    </xf>
    <xf numFmtId="38" fontId="7" fillId="0" borderId="0" xfId="30" applyNumberFormat="1" applyAlignment="1">
      <alignment/>
    </xf>
    <xf numFmtId="38" fontId="7" fillId="0" borderId="0" xfId="37" applyNumberFormat="1">
      <alignment/>
      <protection/>
    </xf>
    <xf numFmtId="40" fontId="7" fillId="0" borderId="0" xfId="30" applyAlignment="1">
      <alignment/>
    </xf>
    <xf numFmtId="40" fontId="7" fillId="0" borderId="0" xfId="37" applyNumberFormat="1">
      <alignment/>
      <protection/>
    </xf>
    <xf numFmtId="212" fontId="7" fillId="0" borderId="0" xfId="37" applyNumberFormat="1">
      <alignment/>
      <protection/>
    </xf>
    <xf numFmtId="202" fontId="7" fillId="0" borderId="0" xfId="39" applyNumberFormat="1" applyAlignment="1">
      <alignment/>
    </xf>
    <xf numFmtId="0" fontId="4" fillId="0" borderId="0" xfId="0" applyFont="1" applyBorder="1" applyAlignment="1" quotePrefix="1">
      <alignment horizontal="center"/>
    </xf>
    <xf numFmtId="43" fontId="4" fillId="0" borderId="0" xfId="28" applyFont="1" applyBorder="1" applyAlignment="1">
      <alignment/>
    </xf>
    <xf numFmtId="182" fontId="4" fillId="0" borderId="0" xfId="28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3" fontId="4" fillId="0" borderId="4" xfId="28" applyFont="1" applyBorder="1" applyAlignment="1">
      <alignment/>
    </xf>
    <xf numFmtId="181" fontId="4" fillId="0" borderId="4" xfId="28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2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2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181" fontId="4" fillId="0" borderId="0" xfId="28" applyNumberFormat="1" applyFont="1" applyAlignment="1">
      <alignment/>
    </xf>
    <xf numFmtId="0" fontId="22" fillId="0" borderId="0" xfId="0" applyFont="1" applyAlignment="1">
      <alignment horizontal="right"/>
    </xf>
    <xf numFmtId="204" fontId="4" fillId="0" borderId="0" xfId="28" applyNumberFormat="1" applyFont="1" applyBorder="1" applyAlignment="1">
      <alignment/>
    </xf>
    <xf numFmtId="0" fontId="22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/>
    </xf>
    <xf numFmtId="0" fontId="22" fillId="0" borderId="10" xfId="0" applyFont="1" applyBorder="1" applyAlignment="1">
      <alignment horizontal="center"/>
    </xf>
    <xf numFmtId="0" fontId="4" fillId="0" borderId="2" xfId="0" applyFont="1" applyBorder="1" applyAlignment="1" quotePrefix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4" fillId="0" borderId="4" xfId="28" applyNumberFormat="1" applyFont="1" applyBorder="1" applyAlignment="1">
      <alignment/>
    </xf>
    <xf numFmtId="204" fontId="4" fillId="0" borderId="4" xfId="28" applyNumberFormat="1" applyFont="1" applyBorder="1" applyAlignment="1">
      <alignment/>
    </xf>
    <xf numFmtId="43" fontId="4" fillId="0" borderId="4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164" fontId="4" fillId="0" borderId="1" xfId="28" applyNumberFormat="1" applyFont="1" applyBorder="1" applyAlignment="1">
      <alignment/>
    </xf>
    <xf numFmtId="1" fontId="4" fillId="0" borderId="0" xfId="28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164" fontId="4" fillId="0" borderId="0" xfId="28" applyNumberFormat="1" applyFont="1" applyFill="1" applyBorder="1" applyAlignment="1">
      <alignment/>
    </xf>
    <xf numFmtId="11" fontId="4" fillId="0" borderId="0" xfId="28" applyNumberFormat="1" applyFont="1" applyFill="1" applyBorder="1" applyAlignment="1">
      <alignment/>
    </xf>
    <xf numFmtId="43" fontId="0" fillId="0" borderId="0" xfId="28" applyNumberFormat="1" applyAlignment="1">
      <alignment/>
    </xf>
    <xf numFmtId="43" fontId="4" fillId="0" borderId="0" xfId="28" applyNumberFormat="1" applyFont="1" applyBorder="1" applyAlignment="1">
      <alignment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182" fontId="4" fillId="0" borderId="2" xfId="0" applyNumberFormat="1" applyFont="1" applyBorder="1" applyAlignment="1">
      <alignment/>
    </xf>
    <xf numFmtId="0" fontId="7" fillId="0" borderId="6" xfId="0" applyFont="1" applyBorder="1" applyAlignment="1">
      <alignment/>
    </xf>
    <xf numFmtId="181" fontId="4" fillId="0" borderId="2" xfId="0" applyNumberFormat="1" applyFont="1" applyBorder="1" applyAlignment="1">
      <alignment/>
    </xf>
    <xf numFmtId="0" fontId="7" fillId="0" borderId="11" xfId="0" applyFont="1" applyBorder="1" applyAlignment="1">
      <alignment/>
    </xf>
    <xf numFmtId="181" fontId="4" fillId="0" borderId="12" xfId="28" applyNumberFormat="1" applyFont="1" applyBorder="1" applyAlignment="1">
      <alignment/>
    </xf>
    <xf numFmtId="0" fontId="5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4" xfId="38" applyNumberFormat="1" applyFont="1" applyFill="1" applyBorder="1">
      <alignment/>
    </xf>
    <xf numFmtId="3" fontId="4" fillId="0" borderId="4" xfId="0" applyNumberFormat="1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4" fillId="8" borderId="5" xfId="0" applyFont="1" applyFill="1" applyBorder="1" applyAlignment="1" quotePrefix="1">
      <alignment/>
    </xf>
    <xf numFmtId="0" fontId="22" fillId="8" borderId="10" xfId="0" applyFont="1" applyFill="1" applyBorder="1" applyAlignment="1">
      <alignment horizontal="center"/>
    </xf>
    <xf numFmtId="0" fontId="4" fillId="8" borderId="6" xfId="0" applyFont="1" applyFill="1" applyBorder="1" applyAlignment="1">
      <alignment/>
    </xf>
    <xf numFmtId="0" fontId="4" fillId="8" borderId="0" xfId="0" applyFont="1" applyFill="1" applyBorder="1" applyAlignment="1">
      <alignment horizontal="center" vertical="center"/>
    </xf>
    <xf numFmtId="0" fontId="4" fillId="8" borderId="2" xfId="0" applyFont="1" applyFill="1" applyBorder="1" applyAlignment="1" quotePrefix="1">
      <alignment horizontal="center" vertical="center"/>
    </xf>
    <xf numFmtId="0" fontId="5" fillId="8" borderId="12" xfId="0" applyFont="1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4" xfId="0" applyFill="1" applyBorder="1" applyAlignment="1">
      <alignment/>
    </xf>
    <xf numFmtId="0" fontId="22" fillId="8" borderId="4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164" fontId="0" fillId="8" borderId="0" xfId="0" applyNumberFormat="1" applyFill="1" applyAlignment="1">
      <alignment/>
    </xf>
    <xf numFmtId="3" fontId="0" fillId="8" borderId="4" xfId="0" applyNumberFormat="1" applyFill="1" applyBorder="1" applyAlignment="1">
      <alignment/>
    </xf>
    <xf numFmtId="0" fontId="4" fillId="8" borderId="4" xfId="0" applyFont="1" applyFill="1" applyBorder="1" applyAlignment="1">
      <alignment/>
    </xf>
    <xf numFmtId="3" fontId="4" fillId="8" borderId="0" xfId="0" applyNumberFormat="1" applyFont="1" applyFill="1" applyBorder="1" applyAlignment="1">
      <alignment/>
    </xf>
    <xf numFmtId="0" fontId="22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181" fontId="4" fillId="8" borderId="0" xfId="28" applyNumberFormat="1" applyFont="1" applyFill="1" applyBorder="1" applyAlignment="1">
      <alignment/>
    </xf>
    <xf numFmtId="40" fontId="7" fillId="0" borderId="0" xfId="37" applyNumberFormat="1" applyFont="1" quotePrefix="1">
      <alignment/>
      <protection/>
    </xf>
    <xf numFmtId="41" fontId="4" fillId="0" borderId="0" xfId="28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4" fillId="0" borderId="0" xfId="38" applyNumberFormat="1" applyFont="1" applyFill="1" applyBorder="1">
      <alignment/>
    </xf>
    <xf numFmtId="41" fontId="0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81" fontId="4" fillId="0" borderId="0" xfId="28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7" fillId="0" borderId="0" xfId="37" applyFont="1">
      <alignment/>
      <protection/>
    </xf>
    <xf numFmtId="0" fontId="7" fillId="0" borderId="0" xfId="37" applyFont="1" quotePrefix="1">
      <alignment/>
      <protection/>
    </xf>
    <xf numFmtId="164" fontId="7" fillId="0" borderId="0" xfId="28" applyNumberFormat="1" applyFont="1" applyAlignment="1">
      <alignment/>
    </xf>
    <xf numFmtId="1" fontId="7" fillId="0" borderId="0" xfId="37" applyNumberFormat="1" applyFont="1">
      <alignment/>
      <protection/>
    </xf>
    <xf numFmtId="204" fontId="7" fillId="0" borderId="0" xfId="37" applyNumberFormat="1" applyFont="1">
      <alignment/>
      <protection/>
    </xf>
    <xf numFmtId="0" fontId="25" fillId="0" borderId="0" xfId="37" applyFont="1">
      <alignment/>
      <protection/>
    </xf>
    <xf numFmtId="43" fontId="7" fillId="0" borderId="0" xfId="28" applyAlignment="1">
      <alignment/>
    </xf>
    <xf numFmtId="0" fontId="7" fillId="0" borderId="4" xfId="37" applyFont="1" applyBorder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4" xfId="37" applyFont="1" applyBorder="1" applyAlignment="1">
      <alignment horizontal="center" vertical="center"/>
      <protection/>
    </xf>
    <xf numFmtId="182" fontId="7" fillId="0" borderId="0" xfId="28" applyNumberFormat="1" applyFont="1" applyAlignment="1">
      <alignment/>
    </xf>
  </cellXfs>
  <cellStyles count="29">
    <cellStyle name="Normal" xfId="0"/>
    <cellStyle name="Affinity Annual" xfId="15"/>
    <cellStyle name="Affinity Background" xfId="16"/>
    <cellStyle name="Affinity Caption" xfId="17"/>
    <cellStyle name="Affinity Date" xfId="18"/>
    <cellStyle name="Affinity Exhibit" xfId="19"/>
    <cellStyle name="Affinity Exhibit Header" xfId="20"/>
    <cellStyle name="Affinity Headings" xfId="21"/>
    <cellStyle name="Affinity Highlight" xfId="22"/>
    <cellStyle name="Affinity Input" xfId="23"/>
    <cellStyle name="Affinity Monthly" xfId="24"/>
    <cellStyle name="Affinity Qtr" xfId="25"/>
    <cellStyle name="Affinity Semi-Annual" xfId="26"/>
    <cellStyle name="Affinity Totals" xfId="27"/>
    <cellStyle name="Comma" xfId="28"/>
    <cellStyle name="Comma [0]" xfId="29"/>
    <cellStyle name="Comma_Mack" xfId="30"/>
    <cellStyle name="Currency" xfId="31"/>
    <cellStyle name="Currency [0]" xfId="32"/>
    <cellStyle name="Exhibit Headings" xfId="33"/>
    <cellStyle name="Followed Hyperlink" xfId="34"/>
    <cellStyle name="GrayBar" xfId="35"/>
    <cellStyle name="Hyperlink" xfId="36"/>
    <cellStyle name="Normal_Mack" xfId="37"/>
    <cellStyle name="Normal_sheet" xfId="38"/>
    <cellStyle name="Percent" xfId="39"/>
    <cellStyle name="RedBold" xfId="40"/>
    <cellStyle name="RedItalic" xfId="41"/>
    <cellStyle name="Totals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N25"/>
  <sheetViews>
    <sheetView tabSelected="1" workbookViewId="0" topLeftCell="A1">
      <selection activeCell="A1" sqref="A1"/>
    </sheetView>
  </sheetViews>
  <sheetFormatPr defaultColWidth="9.33203125" defaultRowHeight="12.75"/>
  <sheetData>
    <row r="2" spans="2:14" ht="12.75">
      <c r="B2" s="16" t="s">
        <v>0</v>
      </c>
      <c r="C2" s="2"/>
      <c r="D2" s="2"/>
      <c r="E2" s="2"/>
      <c r="F2" s="1"/>
      <c r="H2" s="16" t="s">
        <v>90</v>
      </c>
      <c r="I2" s="2"/>
      <c r="J2" s="2"/>
      <c r="K2" s="2"/>
      <c r="L2" s="2" t="s">
        <v>11</v>
      </c>
      <c r="M2" s="1"/>
      <c r="N2" s="1"/>
    </row>
    <row r="3" spans="2:14" ht="12.75">
      <c r="B3" s="3" t="s">
        <v>1</v>
      </c>
      <c r="C3" s="85">
        <v>1</v>
      </c>
      <c r="D3" s="85">
        <f>C3+1</f>
        <v>2</v>
      </c>
      <c r="E3" s="85">
        <f>D3+1</f>
        <v>3</v>
      </c>
      <c r="F3" s="1"/>
      <c r="H3" s="3" t="s">
        <v>1</v>
      </c>
      <c r="I3" s="85">
        <v>1</v>
      </c>
      <c r="J3" s="85">
        <f>I3+1</f>
        <v>2</v>
      </c>
      <c r="K3" s="85"/>
      <c r="L3" s="3" t="s">
        <v>1</v>
      </c>
      <c r="M3" s="85">
        <v>1</v>
      </c>
      <c r="N3" s="85">
        <f>M3+1</f>
        <v>2</v>
      </c>
    </row>
    <row r="4" spans="2:14" ht="12.75">
      <c r="B4" s="3">
        <v>1981</v>
      </c>
      <c r="C4" s="9">
        <v>5012</v>
      </c>
      <c r="D4" s="9">
        <v>8269</v>
      </c>
      <c r="E4" s="9">
        <v>10907</v>
      </c>
      <c r="H4" s="3">
        <v>1981</v>
      </c>
      <c r="I4" s="12">
        <f>D4/C4</f>
        <v>1.6498403830806065</v>
      </c>
      <c r="J4" s="12">
        <f>E4/D4</f>
        <v>1.319022856451808</v>
      </c>
      <c r="K4" s="9"/>
      <c r="L4" s="86">
        <v>1981</v>
      </c>
      <c r="M4" s="15" t="s">
        <v>91</v>
      </c>
      <c r="N4" s="15" t="s">
        <v>92</v>
      </c>
    </row>
    <row r="5" spans="2:14" ht="12.75">
      <c r="B5" s="5">
        <f>B4+1</f>
        <v>1982</v>
      </c>
      <c r="C5" s="9">
        <v>106</v>
      </c>
      <c r="D5" s="9">
        <v>4285</v>
      </c>
      <c r="H5" s="5">
        <f>H4+1</f>
        <v>1982</v>
      </c>
      <c r="I5" s="12">
        <f>D5/C5</f>
        <v>40.424528301886795</v>
      </c>
      <c r="J5" s="9"/>
      <c r="L5" s="86">
        <v>1982</v>
      </c>
      <c r="M5" s="15" t="s">
        <v>93</v>
      </c>
      <c r="N5" s="15"/>
    </row>
    <row r="6" spans="2:14" ht="12.75">
      <c r="B6" s="5">
        <f>B5+1</f>
        <v>1983</v>
      </c>
      <c r="C6" s="9">
        <v>3410</v>
      </c>
      <c r="H6" s="5"/>
      <c r="I6" s="9"/>
      <c r="L6" s="86"/>
      <c r="M6" s="15"/>
      <c r="N6" s="15"/>
    </row>
    <row r="7" spans="8:14" ht="12.75">
      <c r="H7" s="5" t="s">
        <v>94</v>
      </c>
      <c r="I7" s="87">
        <f>AVERAGE(I4:I5)</f>
        <v>21.0371843424837</v>
      </c>
      <c r="J7" s="87">
        <f>AVERAGE(J4:J5)</f>
        <v>1.319022856451808</v>
      </c>
      <c r="L7" s="5" t="s">
        <v>94</v>
      </c>
      <c r="M7" s="15" t="s">
        <v>95</v>
      </c>
      <c r="N7" s="15" t="s">
        <v>96</v>
      </c>
    </row>
    <row r="8" spans="2:11" ht="12.75">
      <c r="B8" s="2" t="s">
        <v>11</v>
      </c>
      <c r="C8" s="1"/>
      <c r="D8" s="1"/>
      <c r="E8" s="1"/>
      <c r="K8" s="1"/>
    </row>
    <row r="9" spans="2:11" ht="12.75">
      <c r="B9" s="3" t="s">
        <v>1</v>
      </c>
      <c r="C9" s="85">
        <v>1</v>
      </c>
      <c r="D9" s="85">
        <f>C9+1</f>
        <v>2</v>
      </c>
      <c r="E9" s="85">
        <f>D9+1</f>
        <v>3</v>
      </c>
      <c r="K9" s="85"/>
    </row>
    <row r="10" spans="2:11" ht="12.75">
      <c r="B10" s="86">
        <v>1981</v>
      </c>
      <c r="C10" s="15" t="s">
        <v>5</v>
      </c>
      <c r="D10" s="15" t="s">
        <v>8</v>
      </c>
      <c r="E10" s="15" t="s">
        <v>7</v>
      </c>
      <c r="K10" s="15"/>
    </row>
    <row r="11" spans="2:11" ht="12.75">
      <c r="B11" s="86">
        <v>1982</v>
      </c>
      <c r="C11" s="15" t="s">
        <v>9</v>
      </c>
      <c r="D11" s="15" t="s">
        <v>6</v>
      </c>
      <c r="E11" s="15"/>
      <c r="K11" s="15"/>
    </row>
    <row r="12" spans="2:11" ht="12.75">
      <c r="B12" s="86">
        <v>1983</v>
      </c>
      <c r="C12" s="15" t="s">
        <v>10</v>
      </c>
      <c r="D12" s="15"/>
      <c r="E12" s="15"/>
      <c r="K12" s="15"/>
    </row>
    <row r="15" spans="2:6" ht="12.75">
      <c r="B15" s="16" t="s">
        <v>2</v>
      </c>
      <c r="C15" s="2"/>
      <c r="D15" s="2"/>
      <c r="E15" s="2"/>
      <c r="F15" s="1"/>
    </row>
    <row r="16" spans="2:6" ht="12.75">
      <c r="B16" s="3" t="s">
        <v>1</v>
      </c>
      <c r="C16" s="85">
        <v>1</v>
      </c>
      <c r="D16" s="85">
        <v>2</v>
      </c>
      <c r="E16" s="85">
        <v>3</v>
      </c>
      <c r="F16" s="1"/>
    </row>
    <row r="17" spans="2:6" ht="12.75">
      <c r="B17" s="5">
        <f aca="true" t="shared" si="0" ref="B17:C19">B4</f>
        <v>1981</v>
      </c>
      <c r="C17" s="13">
        <f t="shared" si="0"/>
        <v>5012</v>
      </c>
      <c r="D17" s="13">
        <f>D4-C4</f>
        <v>3257</v>
      </c>
      <c r="E17" s="13">
        <f>E4-D4</f>
        <v>2638</v>
      </c>
      <c r="F17" s="1"/>
    </row>
    <row r="18" spans="2:6" ht="12.75">
      <c r="B18" s="5">
        <f t="shared" si="0"/>
        <v>1982</v>
      </c>
      <c r="C18" s="13">
        <f t="shared" si="0"/>
        <v>106</v>
      </c>
      <c r="D18" s="13">
        <f>D5-C5</f>
        <v>4179</v>
      </c>
      <c r="F18" s="1"/>
    </row>
    <row r="19" spans="2:6" ht="12.75">
      <c r="B19" s="5">
        <f t="shared" si="0"/>
        <v>1983</v>
      </c>
      <c r="C19" s="13">
        <f t="shared" si="0"/>
        <v>3410</v>
      </c>
      <c r="F19" s="1"/>
    </row>
    <row r="21" spans="2:5" ht="12.75">
      <c r="B21" s="2" t="s">
        <v>11</v>
      </c>
      <c r="C21" s="1"/>
      <c r="D21" s="1"/>
      <c r="E21" s="1"/>
    </row>
    <row r="22" spans="2:5" ht="12.75">
      <c r="B22" s="3" t="s">
        <v>1</v>
      </c>
      <c r="C22" s="85">
        <v>1</v>
      </c>
      <c r="D22" s="85">
        <f>C22+1</f>
        <v>2</v>
      </c>
      <c r="E22" s="85">
        <f>D22+1</f>
        <v>3</v>
      </c>
    </row>
    <row r="23" spans="2:5" ht="12.75">
      <c r="B23" s="86">
        <v>1981</v>
      </c>
      <c r="C23" s="15" t="s">
        <v>16</v>
      </c>
      <c r="D23" s="15" t="s">
        <v>12</v>
      </c>
      <c r="E23" s="15" t="s">
        <v>13</v>
      </c>
    </row>
    <row r="24" spans="2:5" ht="12.75">
      <c r="B24" s="86">
        <v>1982</v>
      </c>
      <c r="C24" s="15" t="s">
        <v>14</v>
      </c>
      <c r="D24" s="15" t="s">
        <v>17</v>
      </c>
      <c r="E24" s="15"/>
    </row>
    <row r="25" spans="2:5" ht="12.75">
      <c r="B25" s="86">
        <v>1983</v>
      </c>
      <c r="C25" s="15" t="s">
        <v>15</v>
      </c>
      <c r="D25" s="15"/>
      <c r="E25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I210"/>
  <sheetViews>
    <sheetView zoomScaleSheetLayoutView="100" workbookViewId="0" topLeftCell="A1">
      <selection activeCell="A1" sqref="A1"/>
    </sheetView>
  </sheetViews>
  <sheetFormatPr defaultColWidth="9.33203125" defaultRowHeight="12.75"/>
  <cols>
    <col min="1" max="1" width="17" style="1" customWidth="1"/>
    <col min="2" max="2" width="13.83203125" style="1" customWidth="1"/>
    <col min="3" max="5" width="12.83203125" style="1" customWidth="1"/>
    <col min="6" max="6" width="15.83203125" style="1" customWidth="1"/>
    <col min="7" max="7" width="12.83203125" style="1" customWidth="1"/>
    <col min="8" max="8" width="13.83203125" style="1" customWidth="1"/>
    <col min="9" max="9" width="18" style="1" customWidth="1"/>
    <col min="10" max="10" width="14.16015625" style="1" customWidth="1"/>
    <col min="11" max="12" width="11.66015625" style="1" customWidth="1"/>
    <col min="13" max="13" width="8.83203125" style="1" customWidth="1"/>
    <col min="14" max="14" width="10" style="1" customWidth="1"/>
    <col min="15" max="15" width="14.16015625" style="1" customWidth="1"/>
    <col min="16" max="16" width="11.5" style="1" bestFit="1" customWidth="1"/>
    <col min="17" max="19" width="9.5" style="1" bestFit="1" customWidth="1"/>
    <col min="20" max="20" width="9.5" style="1" customWidth="1"/>
    <col min="21" max="23" width="9.5" style="1" bestFit="1" customWidth="1"/>
    <col min="24" max="16384" width="9.33203125" style="1" customWidth="1"/>
  </cols>
  <sheetData>
    <row r="1" ht="12.75">
      <c r="A1" s="1" t="s">
        <v>159</v>
      </c>
    </row>
    <row r="2" ht="15.75">
      <c r="A2" s="8" t="s">
        <v>4</v>
      </c>
    </row>
    <row r="5" spans="3:8" ht="12.75" customHeight="1">
      <c r="C5" s="16" t="s">
        <v>0</v>
      </c>
      <c r="D5" s="2"/>
      <c r="E5" s="2"/>
      <c r="F5" s="2"/>
      <c r="G5" s="2"/>
      <c r="H5" s="2"/>
    </row>
    <row r="6" spans="3:17" ht="12.75">
      <c r="C6" s="3" t="s">
        <v>1</v>
      </c>
      <c r="D6" s="7">
        <v>1</v>
      </c>
      <c r="E6" s="7">
        <f aca="true" t="shared" si="0" ref="E6:M6">D6+1</f>
        <v>2</v>
      </c>
      <c r="F6" s="7">
        <f t="shared" si="0"/>
        <v>3</v>
      </c>
      <c r="G6" s="7">
        <f t="shared" si="0"/>
        <v>4</v>
      </c>
      <c r="H6" s="7">
        <f t="shared" si="0"/>
        <v>5</v>
      </c>
      <c r="I6" s="7">
        <f t="shared" si="0"/>
        <v>6</v>
      </c>
      <c r="J6" s="7">
        <f t="shared" si="0"/>
        <v>7</v>
      </c>
      <c r="K6" s="7">
        <f t="shared" si="0"/>
        <v>8</v>
      </c>
      <c r="L6" s="7">
        <f t="shared" si="0"/>
        <v>9</v>
      </c>
      <c r="M6" s="7">
        <f t="shared" si="0"/>
        <v>10</v>
      </c>
      <c r="N6" s="7" t="s">
        <v>30</v>
      </c>
      <c r="O6" s="1" t="s">
        <v>31</v>
      </c>
      <c r="P6" s="1" t="s">
        <v>32</v>
      </c>
      <c r="Q6" s="1" t="s">
        <v>64</v>
      </c>
    </row>
    <row r="7" spans="3:26" ht="12.75">
      <c r="C7" s="3">
        <v>1981</v>
      </c>
      <c r="D7" s="9">
        <v>5012</v>
      </c>
      <c r="E7" s="9">
        <v>8269</v>
      </c>
      <c r="F7" s="9">
        <v>10907</v>
      </c>
      <c r="G7" s="9">
        <v>11805</v>
      </c>
      <c r="H7" s="9">
        <v>13539</v>
      </c>
      <c r="I7" s="9">
        <v>16181</v>
      </c>
      <c r="J7" s="9">
        <v>18009</v>
      </c>
      <c r="K7" s="6">
        <v>18608</v>
      </c>
      <c r="L7" s="6">
        <v>18662</v>
      </c>
      <c r="M7" s="6">
        <v>18834</v>
      </c>
      <c r="N7" s="6">
        <f>M7</f>
        <v>18834</v>
      </c>
      <c r="O7" s="1">
        <v>1</v>
      </c>
      <c r="P7" s="1">
        <f aca="true" t="shared" si="1" ref="P7:P15">O7*N7</f>
        <v>18834</v>
      </c>
      <c r="Q7" s="6">
        <f>P7-N7</f>
        <v>0</v>
      </c>
      <c r="Y7"/>
      <c r="Z7"/>
    </row>
    <row r="8" spans="3:26" ht="12.75">
      <c r="C8" s="5">
        <f aca="true" t="shared" si="2" ref="C8:C16">C7+1</f>
        <v>1982</v>
      </c>
      <c r="D8" s="9">
        <v>106</v>
      </c>
      <c r="E8" s="9">
        <v>4285</v>
      </c>
      <c r="F8" s="9">
        <v>5396</v>
      </c>
      <c r="G8" s="9">
        <v>10666</v>
      </c>
      <c r="H8" s="9">
        <v>13782</v>
      </c>
      <c r="I8" s="9">
        <v>15599</v>
      </c>
      <c r="J8" s="6">
        <v>15496</v>
      </c>
      <c r="K8" s="6">
        <v>16169</v>
      </c>
      <c r="L8" s="6">
        <v>16704</v>
      </c>
      <c r="N8" s="6">
        <f>L8</f>
        <v>16704</v>
      </c>
      <c r="O8" s="1">
        <f aca="true" t="shared" si="3" ref="O8:O15">HLOOKUP(1991-C8,$D$32:$L$45,14)</f>
        <v>1.0092165898617511</v>
      </c>
      <c r="P8" s="1">
        <f t="shared" si="1"/>
        <v>16857.95391705069</v>
      </c>
      <c r="Q8" s="6">
        <f aca="true" t="shared" si="4" ref="Q8:Q16">P8-N8</f>
        <v>153.9539170506905</v>
      </c>
      <c r="Y8"/>
      <c r="Z8"/>
    </row>
    <row r="9" spans="3:26" ht="12.75">
      <c r="C9" s="5">
        <f t="shared" si="2"/>
        <v>1983</v>
      </c>
      <c r="D9" s="9">
        <v>3410</v>
      </c>
      <c r="E9" s="9">
        <v>8992</v>
      </c>
      <c r="F9" s="9">
        <v>13873</v>
      </c>
      <c r="G9" s="9">
        <v>16141</v>
      </c>
      <c r="H9" s="9">
        <v>18735</v>
      </c>
      <c r="I9" s="9">
        <v>22214</v>
      </c>
      <c r="J9" s="9">
        <v>22863</v>
      </c>
      <c r="K9" s="6">
        <v>23466</v>
      </c>
      <c r="N9" s="6">
        <f>K9</f>
        <v>23466</v>
      </c>
      <c r="O9" s="1">
        <f t="shared" si="3"/>
        <v>1.0263091674684617</v>
      </c>
      <c r="P9" s="1">
        <f t="shared" si="1"/>
        <v>24083.37092381492</v>
      </c>
      <c r="Q9" s="6">
        <f t="shared" si="4"/>
        <v>617.3709238149204</v>
      </c>
      <c r="Y9"/>
      <c r="Z9"/>
    </row>
    <row r="10" spans="2:26" ht="12.75">
      <c r="B10" s="4"/>
      <c r="C10" s="5">
        <f t="shared" si="2"/>
        <v>1984</v>
      </c>
      <c r="D10" s="9">
        <v>5655</v>
      </c>
      <c r="E10" s="9">
        <v>11555</v>
      </c>
      <c r="F10" s="9">
        <v>15766</v>
      </c>
      <c r="G10" s="9">
        <v>21266</v>
      </c>
      <c r="H10" s="9">
        <v>23425</v>
      </c>
      <c r="I10" s="9">
        <v>26083</v>
      </c>
      <c r="J10" s="9">
        <v>27067</v>
      </c>
      <c r="K10"/>
      <c r="L10"/>
      <c r="N10" s="6">
        <f>J10</f>
        <v>27067</v>
      </c>
      <c r="O10" s="1">
        <f t="shared" si="3"/>
        <v>1.0604478576650866</v>
      </c>
      <c r="P10" s="1">
        <f t="shared" si="1"/>
        <v>28703.1421634209</v>
      </c>
      <c r="Q10" s="6">
        <f t="shared" si="4"/>
        <v>1636.1421634209</v>
      </c>
      <c r="Y10"/>
      <c r="Z10"/>
    </row>
    <row r="11" spans="2:26" ht="12.75">
      <c r="B11" s="4"/>
      <c r="C11" s="5">
        <f t="shared" si="2"/>
        <v>1985</v>
      </c>
      <c r="D11" s="9">
        <v>1092</v>
      </c>
      <c r="E11" s="9">
        <v>9565</v>
      </c>
      <c r="F11" s="9">
        <v>15836</v>
      </c>
      <c r="G11" s="9">
        <v>22169</v>
      </c>
      <c r="H11" s="9">
        <v>25955</v>
      </c>
      <c r="I11" s="9">
        <v>26180</v>
      </c>
      <c r="J11" s="10"/>
      <c r="K11"/>
      <c r="L11"/>
      <c r="N11" s="6">
        <f>I11</f>
        <v>26180</v>
      </c>
      <c r="O11" s="1">
        <f t="shared" si="3"/>
        <v>1.104917354599779</v>
      </c>
      <c r="P11" s="1">
        <f t="shared" si="1"/>
        <v>28926.736343422213</v>
      </c>
      <c r="Q11" s="6">
        <f t="shared" si="4"/>
        <v>2746.7363434222134</v>
      </c>
      <c r="Y11"/>
      <c r="Z11"/>
    </row>
    <row r="12" spans="2:26" ht="12.75">
      <c r="B12" s="4"/>
      <c r="C12" s="5">
        <f t="shared" si="2"/>
        <v>1986</v>
      </c>
      <c r="D12" s="9">
        <v>1513</v>
      </c>
      <c r="E12" s="9">
        <v>6445</v>
      </c>
      <c r="F12" s="9">
        <v>11702</v>
      </c>
      <c r="G12" s="9">
        <v>12935</v>
      </c>
      <c r="H12" s="9">
        <v>15852</v>
      </c>
      <c r="I12" s="10"/>
      <c r="J12" s="10"/>
      <c r="K12"/>
      <c r="L12"/>
      <c r="N12" s="6">
        <f>H12</f>
        <v>15852</v>
      </c>
      <c r="O12" s="1">
        <f t="shared" si="3"/>
        <v>1.2301982831186211</v>
      </c>
      <c r="P12" s="1">
        <f t="shared" si="1"/>
        <v>19501.103183996383</v>
      </c>
      <c r="Q12" s="6">
        <f t="shared" si="4"/>
        <v>3649.1031839963834</v>
      </c>
      <c r="Y12"/>
      <c r="Z12"/>
    </row>
    <row r="13" spans="2:26" ht="12.75">
      <c r="B13" s="4"/>
      <c r="C13" s="5">
        <f t="shared" si="2"/>
        <v>1987</v>
      </c>
      <c r="D13" s="9">
        <v>557</v>
      </c>
      <c r="E13" s="9">
        <v>4020</v>
      </c>
      <c r="F13" s="9">
        <v>10946</v>
      </c>
      <c r="G13" s="9">
        <v>12314</v>
      </c>
      <c r="H13" s="10"/>
      <c r="I13" s="10"/>
      <c r="J13" s="10"/>
      <c r="K13"/>
      <c r="L13"/>
      <c r="N13" s="6">
        <f>G13</f>
        <v>12314</v>
      </c>
      <c r="O13" s="1">
        <f t="shared" si="3"/>
        <v>1.441392121998959</v>
      </c>
      <c r="P13" s="1">
        <f t="shared" si="1"/>
        <v>17749.30259029518</v>
      </c>
      <c r="Q13" s="6">
        <f t="shared" si="4"/>
        <v>5435.302590295181</v>
      </c>
      <c r="Y13"/>
      <c r="Z13"/>
    </row>
    <row r="14" spans="2:26" ht="12.75">
      <c r="B14" s="4"/>
      <c r="C14" s="5">
        <f t="shared" si="2"/>
        <v>1988</v>
      </c>
      <c r="D14" s="9">
        <v>1351</v>
      </c>
      <c r="E14" s="9">
        <v>6947</v>
      </c>
      <c r="F14" s="9">
        <v>13112</v>
      </c>
      <c r="G14" s="10"/>
      <c r="H14" s="10"/>
      <c r="I14" s="10"/>
      <c r="J14" s="10"/>
      <c r="K14"/>
      <c r="L14"/>
      <c r="N14" s="6">
        <f>F14</f>
        <v>13112</v>
      </c>
      <c r="O14" s="1">
        <f t="shared" si="3"/>
        <v>1.8318481169544962</v>
      </c>
      <c r="P14" s="1">
        <f t="shared" si="1"/>
        <v>24019.192509507353</v>
      </c>
      <c r="Q14" s="6">
        <f t="shared" si="4"/>
        <v>10907.192509507353</v>
      </c>
      <c r="Y14"/>
      <c r="Z14"/>
    </row>
    <row r="15" spans="2:26" ht="12.75">
      <c r="B15" s="4"/>
      <c r="C15" s="5">
        <f t="shared" si="2"/>
        <v>1989</v>
      </c>
      <c r="D15" s="9">
        <v>3133</v>
      </c>
      <c r="E15" s="9">
        <v>5395</v>
      </c>
      <c r="F15" s="11"/>
      <c r="G15" s="10"/>
      <c r="H15" s="10"/>
      <c r="I15" s="10"/>
      <c r="J15" s="10"/>
      <c r="K15"/>
      <c r="L15"/>
      <c r="N15" s="6">
        <f>E15</f>
        <v>5395</v>
      </c>
      <c r="O15" s="1">
        <f t="shared" si="3"/>
        <v>2.9740470992960426</v>
      </c>
      <c r="P15" s="1">
        <f t="shared" si="1"/>
        <v>16044.98410070215</v>
      </c>
      <c r="Q15" s="6">
        <f t="shared" si="4"/>
        <v>10649.98410070215</v>
      </c>
      <c r="Y15"/>
      <c r="Z15"/>
    </row>
    <row r="16" spans="2:26" ht="12.75">
      <c r="B16" s="4"/>
      <c r="C16" s="5">
        <f t="shared" si="2"/>
        <v>1990</v>
      </c>
      <c r="D16" s="6">
        <v>2063</v>
      </c>
      <c r="E16" s="9"/>
      <c r="F16" s="11"/>
      <c r="G16" s="10"/>
      <c r="H16" s="10"/>
      <c r="I16" s="10"/>
      <c r="J16" s="10"/>
      <c r="K16"/>
      <c r="L16"/>
      <c r="N16" s="6">
        <f>D16</f>
        <v>2063</v>
      </c>
      <c r="O16" s="1">
        <f>HLOOKUP(1991-C16,$D$32:$L$45,14)</f>
        <v>8.920233896752476</v>
      </c>
      <c r="P16" s="1">
        <f>O16*N16</f>
        <v>18402.44252900036</v>
      </c>
      <c r="Q16" s="6">
        <f t="shared" si="4"/>
        <v>16339.44252900036</v>
      </c>
      <c r="Y16"/>
      <c r="Z16"/>
    </row>
    <row r="17" spans="2:26" ht="12.75">
      <c r="B17" s="4" t="s">
        <v>101</v>
      </c>
      <c r="C17" s="5" t="s">
        <v>39</v>
      </c>
      <c r="D17" s="9">
        <f>SUM(D7:D15)</f>
        <v>21829</v>
      </c>
      <c r="E17" s="9">
        <f>SUM(E7:E14)</f>
        <v>60078</v>
      </c>
      <c r="F17" s="9">
        <f>SUM(F7:F13)</f>
        <v>84426</v>
      </c>
      <c r="G17" s="9">
        <f>SUM(G7:G12)</f>
        <v>94982</v>
      </c>
      <c r="H17" s="9">
        <f>SUM(H7:H11)</f>
        <v>95436</v>
      </c>
      <c r="I17" s="9">
        <f>SUM(I7:I10)</f>
        <v>80077</v>
      </c>
      <c r="J17" s="9">
        <f>SUM(J7:J9)</f>
        <v>56368</v>
      </c>
      <c r="K17" s="9">
        <f>SUM(K7:K8)</f>
        <v>34777</v>
      </c>
      <c r="L17" s="9">
        <f>SUM(L7)</f>
        <v>18662</v>
      </c>
      <c r="M17" s="9">
        <f>SUM(M7:M14)</f>
        <v>18834</v>
      </c>
      <c r="N17"/>
      <c r="Y17"/>
      <c r="Z17"/>
    </row>
    <row r="18" spans="2:12" ht="12.75">
      <c r="B18" s="6"/>
      <c r="C18" s="2" t="s">
        <v>2</v>
      </c>
      <c r="D18" s="2"/>
      <c r="E18" s="2"/>
      <c r="F18" s="2"/>
      <c r="G18" s="2"/>
      <c r="H18" s="2"/>
      <c r="K18"/>
      <c r="L18"/>
    </row>
    <row r="19" spans="2:13" ht="12.75">
      <c r="B19" s="6"/>
      <c r="C19" s="3" t="s">
        <v>1</v>
      </c>
      <c r="D19" s="7">
        <v>1</v>
      </c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2:14" ht="12.75">
      <c r="B20" s="6"/>
      <c r="C20" s="5">
        <f aca="true" t="shared" si="5" ref="C20:D22">C7</f>
        <v>1981</v>
      </c>
      <c r="D20" s="13">
        <f>D7</f>
        <v>5012</v>
      </c>
      <c r="E20" s="13">
        <f>E7-D7</f>
        <v>3257</v>
      </c>
      <c r="F20" s="13">
        <f aca="true" t="shared" si="6" ref="E20:M23">F7-E7</f>
        <v>2638</v>
      </c>
      <c r="G20" s="13">
        <f t="shared" si="6"/>
        <v>898</v>
      </c>
      <c r="H20" s="13">
        <f t="shared" si="6"/>
        <v>1734</v>
      </c>
      <c r="I20" s="13">
        <f t="shared" si="6"/>
        <v>2642</v>
      </c>
      <c r="J20" s="13">
        <f t="shared" si="6"/>
        <v>1828</v>
      </c>
      <c r="K20" s="13">
        <f t="shared" si="6"/>
        <v>599</v>
      </c>
      <c r="L20" s="13">
        <f t="shared" si="6"/>
        <v>54</v>
      </c>
      <c r="M20" s="13">
        <f t="shared" si="6"/>
        <v>172</v>
      </c>
      <c r="N20" s="13"/>
    </row>
    <row r="21" spans="2:12" ht="12.75">
      <c r="B21" s="6"/>
      <c r="C21" s="5">
        <f t="shared" si="5"/>
        <v>1982</v>
      </c>
      <c r="D21" s="13">
        <f t="shared" si="5"/>
        <v>106</v>
      </c>
      <c r="E21" s="13">
        <f t="shared" si="6"/>
        <v>4179</v>
      </c>
      <c r="F21" s="13">
        <f t="shared" si="6"/>
        <v>1111</v>
      </c>
      <c r="G21" s="13">
        <f t="shared" si="6"/>
        <v>5270</v>
      </c>
      <c r="H21" s="13">
        <f t="shared" si="6"/>
        <v>3116</v>
      </c>
      <c r="I21" s="13">
        <f t="shared" si="6"/>
        <v>1817</v>
      </c>
      <c r="J21" s="13">
        <f t="shared" si="6"/>
        <v>-103</v>
      </c>
      <c r="K21" s="13">
        <f t="shared" si="6"/>
        <v>673</v>
      </c>
      <c r="L21" s="13">
        <f t="shared" si="6"/>
        <v>535</v>
      </c>
    </row>
    <row r="22" spans="2:12" ht="12.75">
      <c r="B22" s="6"/>
      <c r="C22" s="5">
        <f t="shared" si="5"/>
        <v>1983</v>
      </c>
      <c r="D22" s="13">
        <f t="shared" si="5"/>
        <v>3410</v>
      </c>
      <c r="E22" s="13">
        <f t="shared" si="6"/>
        <v>5582</v>
      </c>
      <c r="F22" s="13">
        <f t="shared" si="6"/>
        <v>4881</v>
      </c>
      <c r="G22" s="13">
        <f t="shared" si="6"/>
        <v>2268</v>
      </c>
      <c r="H22" s="13">
        <f t="shared" si="6"/>
        <v>2594</v>
      </c>
      <c r="I22" s="13">
        <f t="shared" si="6"/>
        <v>3479</v>
      </c>
      <c r="J22" s="13">
        <f t="shared" si="6"/>
        <v>649</v>
      </c>
      <c r="K22" s="13">
        <f t="shared" si="6"/>
        <v>603</v>
      </c>
      <c r="L22"/>
    </row>
    <row r="23" spans="2:12" ht="12.75">
      <c r="B23" s="4"/>
      <c r="C23" s="5">
        <f>C10</f>
        <v>1984</v>
      </c>
      <c r="D23" s="13">
        <f>D10</f>
        <v>5655</v>
      </c>
      <c r="E23" s="13">
        <f t="shared" si="6"/>
        <v>5900</v>
      </c>
      <c r="F23" s="13">
        <f t="shared" si="6"/>
        <v>4211</v>
      </c>
      <c r="G23" s="13">
        <f t="shared" si="6"/>
        <v>5500</v>
      </c>
      <c r="H23" s="13">
        <f t="shared" si="6"/>
        <v>2159</v>
      </c>
      <c r="I23" s="13">
        <f t="shared" si="6"/>
        <v>2658</v>
      </c>
      <c r="J23" s="13">
        <f t="shared" si="6"/>
        <v>984</v>
      </c>
      <c r="K23"/>
      <c r="L23"/>
    </row>
    <row r="24" spans="2:12" ht="12.75">
      <c r="B24" s="4"/>
      <c r="C24" s="5">
        <f aca="true" t="shared" si="7" ref="C24:D29">C11</f>
        <v>1985</v>
      </c>
      <c r="D24" s="13">
        <f t="shared" si="7"/>
        <v>1092</v>
      </c>
      <c r="E24" s="13">
        <f>E11-D11</f>
        <v>8473</v>
      </c>
      <c r="F24" s="13">
        <f>F11-E11</f>
        <v>6271</v>
      </c>
      <c r="G24" s="13">
        <f>G11-F11</f>
        <v>6333</v>
      </c>
      <c r="H24" s="13">
        <f>H11-G11</f>
        <v>3786</v>
      </c>
      <c r="I24" s="13">
        <f>I11-H11</f>
        <v>225</v>
      </c>
      <c r="K24"/>
      <c r="L24"/>
    </row>
    <row r="25" spans="2:12" ht="12.75">
      <c r="B25" s="4"/>
      <c r="C25" s="5">
        <f t="shared" si="7"/>
        <v>1986</v>
      </c>
      <c r="D25" s="13">
        <f t="shared" si="7"/>
        <v>1513</v>
      </c>
      <c r="E25" s="13">
        <f>E12-D12</f>
        <v>4932</v>
      </c>
      <c r="F25" s="13">
        <f>F12-E12</f>
        <v>5257</v>
      </c>
      <c r="G25" s="13">
        <f>G12-F12</f>
        <v>1233</v>
      </c>
      <c r="H25" s="13">
        <f>H12-G12</f>
        <v>2917</v>
      </c>
      <c r="K25"/>
      <c r="L25"/>
    </row>
    <row r="26" spans="2:12" ht="12.75">
      <c r="B26" s="4"/>
      <c r="C26" s="5">
        <f t="shared" si="7"/>
        <v>1987</v>
      </c>
      <c r="D26" s="13">
        <f t="shared" si="7"/>
        <v>557</v>
      </c>
      <c r="E26" s="13">
        <f>E13-D13</f>
        <v>3463</v>
      </c>
      <c r="F26" s="13">
        <f>F13-E13</f>
        <v>6926</v>
      </c>
      <c r="G26" s="13">
        <f>G13-F13</f>
        <v>1368</v>
      </c>
      <c r="H26" s="13"/>
      <c r="K26"/>
      <c r="L26"/>
    </row>
    <row r="27" spans="2:12" ht="12.75">
      <c r="B27" s="4"/>
      <c r="C27" s="5">
        <f t="shared" si="7"/>
        <v>1988</v>
      </c>
      <c r="D27" s="13">
        <f t="shared" si="7"/>
        <v>1351</v>
      </c>
      <c r="E27" s="13">
        <f>E14-D14</f>
        <v>5596</v>
      </c>
      <c r="F27" s="13">
        <f>F14-E14</f>
        <v>6165</v>
      </c>
      <c r="G27" s="13"/>
      <c r="H27" s="13"/>
      <c r="K27"/>
      <c r="L27"/>
    </row>
    <row r="28" spans="1:12" ht="12.75">
      <c r="A28"/>
      <c r="B28"/>
      <c r="C28" s="5">
        <f t="shared" si="7"/>
        <v>1989</v>
      </c>
      <c r="D28" s="13">
        <f t="shared" si="7"/>
        <v>3133</v>
      </c>
      <c r="E28" s="13">
        <f>E15-D15</f>
        <v>2262</v>
      </c>
      <c r="F28" s="13"/>
      <c r="G28" s="13"/>
      <c r="H28" s="13"/>
      <c r="K28"/>
      <c r="L28"/>
    </row>
    <row r="29" spans="1:12" ht="12.75">
      <c r="A29"/>
      <c r="B29"/>
      <c r="C29" s="5">
        <f t="shared" si="7"/>
        <v>1990</v>
      </c>
      <c r="D29" s="13">
        <f t="shared" si="7"/>
        <v>2063</v>
      </c>
      <c r="K29"/>
      <c r="L29"/>
    </row>
    <row r="30" spans="1:12" ht="12.75">
      <c r="A30"/>
      <c r="B30"/>
      <c r="K30"/>
      <c r="L30"/>
    </row>
    <row r="31" spans="3:26" ht="12.75">
      <c r="C31" s="16" t="s">
        <v>3</v>
      </c>
      <c r="D31" s="2"/>
      <c r="E31" s="2"/>
      <c r="F31" s="2"/>
      <c r="G31" s="2"/>
      <c r="H31" s="2"/>
      <c r="K31"/>
      <c r="L31"/>
      <c r="O31" s="16" t="s">
        <v>123</v>
      </c>
      <c r="P31" s="2"/>
      <c r="Q31" s="2"/>
      <c r="R31" s="2"/>
      <c r="S31" s="2"/>
      <c r="T31" s="2"/>
      <c r="W31"/>
      <c r="X31"/>
      <c r="Z31"/>
    </row>
    <row r="32" spans="3:26" ht="12.75">
      <c r="C32" s="3" t="s">
        <v>1</v>
      </c>
      <c r="D32" s="7">
        <v>1</v>
      </c>
      <c r="E32" s="7">
        <f aca="true" t="shared" si="8" ref="E32:L32">D32+1</f>
        <v>2</v>
      </c>
      <c r="F32" s="7">
        <f t="shared" si="8"/>
        <v>3</v>
      </c>
      <c r="G32" s="7">
        <f t="shared" si="8"/>
        <v>4</v>
      </c>
      <c r="H32" s="7">
        <f t="shared" si="8"/>
        <v>5</v>
      </c>
      <c r="I32" s="7">
        <f t="shared" si="8"/>
        <v>6</v>
      </c>
      <c r="J32" s="7">
        <f t="shared" si="8"/>
        <v>7</v>
      </c>
      <c r="K32" s="7">
        <f t="shared" si="8"/>
        <v>8</v>
      </c>
      <c r="L32" s="7">
        <f t="shared" si="8"/>
        <v>9</v>
      </c>
      <c r="O32" s="3" t="s">
        <v>1</v>
      </c>
      <c r="P32" s="7">
        <v>1</v>
      </c>
      <c r="Q32" s="7">
        <f aca="true" t="shared" si="9" ref="Q32:X32">P32+1</f>
        <v>2</v>
      </c>
      <c r="R32" s="7">
        <f t="shared" si="9"/>
        <v>3</v>
      </c>
      <c r="S32" s="7">
        <f t="shared" si="9"/>
        <v>4</v>
      </c>
      <c r="T32" s="7">
        <f t="shared" si="9"/>
        <v>5</v>
      </c>
      <c r="U32" s="7">
        <f t="shared" si="9"/>
        <v>6</v>
      </c>
      <c r="V32" s="7">
        <f t="shared" si="9"/>
        <v>7</v>
      </c>
      <c r="W32" s="7">
        <f t="shared" si="9"/>
        <v>8</v>
      </c>
      <c r="X32" s="7">
        <f t="shared" si="9"/>
        <v>9</v>
      </c>
      <c r="Z32"/>
    </row>
    <row r="33" spans="3:26" ht="12.75">
      <c r="C33" s="3">
        <v>1981</v>
      </c>
      <c r="D33" s="12">
        <f aca="true" t="shared" si="10" ref="D33:L33">E7/D7</f>
        <v>1.6498403830806065</v>
      </c>
      <c r="E33" s="12">
        <f t="shared" si="10"/>
        <v>1.319022856451808</v>
      </c>
      <c r="F33" s="12">
        <f t="shared" si="10"/>
        <v>1.0823324470523517</v>
      </c>
      <c r="G33" s="12">
        <f t="shared" si="10"/>
        <v>1.1468869123252858</v>
      </c>
      <c r="H33" s="12">
        <f t="shared" si="10"/>
        <v>1.1951399660240787</v>
      </c>
      <c r="I33" s="12">
        <f t="shared" si="10"/>
        <v>1.1129720042024598</v>
      </c>
      <c r="J33" s="12">
        <f t="shared" si="10"/>
        <v>1.0332611472041757</v>
      </c>
      <c r="K33" s="12">
        <f t="shared" si="10"/>
        <v>1.002901977644024</v>
      </c>
      <c r="L33" s="12">
        <f t="shared" si="10"/>
        <v>1.0092165898617511</v>
      </c>
      <c r="O33" s="3">
        <v>1981</v>
      </c>
      <c r="P33" s="25">
        <f aca="true" t="shared" si="11" ref="P33:X33">(D33-D$43)^2</f>
        <v>1.821199556353361</v>
      </c>
      <c r="Q33" s="25">
        <f t="shared" si="11"/>
        <v>0.0927201874567128</v>
      </c>
      <c r="R33" s="25">
        <f t="shared" si="11"/>
        <v>0.03555323992862881</v>
      </c>
      <c r="S33" s="25">
        <f t="shared" si="11"/>
        <v>0.0006144311006288677</v>
      </c>
      <c r="T33" s="25">
        <f t="shared" si="11"/>
        <v>0.006683893075984706</v>
      </c>
      <c r="U33" s="25">
        <f t="shared" si="11"/>
        <v>0.005046307409625522</v>
      </c>
      <c r="V33" s="25">
        <f t="shared" si="11"/>
        <v>5.7916523644500836E-12</v>
      </c>
      <c r="W33" s="25">
        <f t="shared" si="11"/>
        <v>0.00019696728466117372</v>
      </c>
      <c r="X33" s="25">
        <f t="shared" si="11"/>
        <v>0</v>
      </c>
      <c r="Z33"/>
    </row>
    <row r="34" spans="3:26" ht="12.75">
      <c r="C34" s="5">
        <f aca="true" t="shared" si="12" ref="C34:C41">C33+1</f>
        <v>1982</v>
      </c>
      <c r="D34" s="12">
        <f aca="true" t="shared" si="13" ref="D34:E41">E8/D8</f>
        <v>40.424528301886795</v>
      </c>
      <c r="E34" s="12">
        <f t="shared" si="13"/>
        <v>1.2592765460910151</v>
      </c>
      <c r="F34" s="12">
        <f aca="true" t="shared" si="14" ref="F34:K36">G8/F8</f>
        <v>1.9766493699036323</v>
      </c>
      <c r="G34" s="12">
        <f t="shared" si="14"/>
        <v>1.2921432589536845</v>
      </c>
      <c r="H34" s="12">
        <f t="shared" si="14"/>
        <v>1.1318386300972283</v>
      </c>
      <c r="I34" s="12">
        <f t="shared" si="14"/>
        <v>0.9933970126290147</v>
      </c>
      <c r="J34" s="12">
        <f t="shared" si="14"/>
        <v>1.0434305627258647</v>
      </c>
      <c r="K34" s="12">
        <f t="shared" si="14"/>
        <v>1.033088007916383</v>
      </c>
      <c r="O34" s="5">
        <f aca="true" t="shared" si="15" ref="O34:O41">O33+1</f>
        <v>1982</v>
      </c>
      <c r="P34" s="25">
        <f aca="true" t="shared" si="16" ref="P34:W41">(D34-D$43)^2</f>
        <v>1400.643323372555</v>
      </c>
      <c r="Q34" s="25">
        <f t="shared" si="16"/>
        <v>0.1326752997964684</v>
      </c>
      <c r="R34" s="25">
        <f t="shared" si="16"/>
        <v>0.4980989488728254</v>
      </c>
      <c r="S34" s="25">
        <f t="shared" si="16"/>
        <v>0.014512689817875995</v>
      </c>
      <c r="T34" s="25">
        <f t="shared" si="16"/>
        <v>0.0003405406635859562</v>
      </c>
      <c r="U34" s="25">
        <f t="shared" si="16"/>
        <v>0.0023559010680154475</v>
      </c>
      <c r="V34" s="25">
        <f t="shared" si="16"/>
        <v>0.00010336807071447849</v>
      </c>
      <c r="W34" s="25">
        <f t="shared" si="16"/>
        <v>0.00026087182148635597</v>
      </c>
      <c r="Z34"/>
    </row>
    <row r="35" spans="3:26" ht="12.75">
      <c r="C35" s="5">
        <f t="shared" si="12"/>
        <v>1983</v>
      </c>
      <c r="D35" s="12">
        <f t="shared" si="13"/>
        <v>2.6369501466275658</v>
      </c>
      <c r="E35" s="12">
        <f t="shared" si="13"/>
        <v>1.5428158362989324</v>
      </c>
      <c r="F35" s="12">
        <f t="shared" si="14"/>
        <v>1.1634830245801198</v>
      </c>
      <c r="G35" s="12">
        <f t="shared" si="14"/>
        <v>1.1607087541044545</v>
      </c>
      <c r="H35" s="12">
        <f t="shared" si="14"/>
        <v>1.1856952228449427</v>
      </c>
      <c r="I35" s="12">
        <f t="shared" si="14"/>
        <v>1.0292158098496444</v>
      </c>
      <c r="J35" s="12">
        <f t="shared" si="14"/>
        <v>1.0263744915365438</v>
      </c>
      <c r="O35" s="5">
        <f t="shared" si="15"/>
        <v>1983</v>
      </c>
      <c r="P35" s="25">
        <f t="shared" si="16"/>
        <v>0.13133992428455335</v>
      </c>
      <c r="Q35" s="25">
        <f t="shared" si="16"/>
        <v>0.006513606525010932</v>
      </c>
      <c r="R35" s="25">
        <f t="shared" si="16"/>
        <v>0.011535853455761186</v>
      </c>
      <c r="S35" s="25">
        <f t="shared" si="16"/>
        <v>0.00012025050188998288</v>
      </c>
      <c r="T35" s="25">
        <f t="shared" si="16"/>
        <v>0.00522878478477025</v>
      </c>
      <c r="U35" s="25">
        <f t="shared" si="16"/>
        <v>0.000161768587254595</v>
      </c>
      <c r="V35" s="25">
        <f t="shared" si="16"/>
        <v>4.7459178723506854E-05</v>
      </c>
      <c r="Z35"/>
    </row>
    <row r="36" spans="3:26" ht="12.75">
      <c r="C36" s="5">
        <f t="shared" si="12"/>
        <v>1984</v>
      </c>
      <c r="D36" s="12">
        <f t="shared" si="13"/>
        <v>2.0433244916003535</v>
      </c>
      <c r="E36" s="12">
        <f t="shared" si="13"/>
        <v>1.3644309822587624</v>
      </c>
      <c r="F36" s="12">
        <f t="shared" si="14"/>
        <v>1.3488519599137385</v>
      </c>
      <c r="G36" s="12">
        <f t="shared" si="14"/>
        <v>1.1015235587322487</v>
      </c>
      <c r="H36" s="12">
        <f t="shared" si="14"/>
        <v>1.1134685165421558</v>
      </c>
      <c r="I36" s="12">
        <f t="shared" si="14"/>
        <v>1.037725721734463</v>
      </c>
      <c r="J36"/>
      <c r="O36" s="5">
        <f t="shared" si="15"/>
        <v>1984</v>
      </c>
      <c r="P36" s="25">
        <f t="shared" si="16"/>
        <v>0.914001314580257</v>
      </c>
      <c r="Q36" s="25">
        <f t="shared" si="16"/>
        <v>0.0671285460562574</v>
      </c>
      <c r="R36" s="25">
        <f t="shared" si="16"/>
        <v>0.006078361108174247</v>
      </c>
      <c r="S36" s="25">
        <f t="shared" si="16"/>
        <v>0.0049211732333187186</v>
      </c>
      <c r="T36" s="25">
        <f t="shared" si="16"/>
        <v>6.994033048091771E-09</v>
      </c>
      <c r="U36" s="25">
        <f t="shared" si="16"/>
        <v>1.7714975381203275E-05</v>
      </c>
      <c r="V36"/>
      <c r="Z36"/>
    </row>
    <row r="37" spans="3:26" ht="12.75">
      <c r="C37" s="5">
        <f t="shared" si="12"/>
        <v>1985</v>
      </c>
      <c r="D37" s="12">
        <f t="shared" si="13"/>
        <v>8.75915750915751</v>
      </c>
      <c r="E37" s="12">
        <f t="shared" si="13"/>
        <v>1.6556194458964977</v>
      </c>
      <c r="F37" s="12">
        <f>G11/F11</f>
        <v>1.3999115938368274</v>
      </c>
      <c r="G37" s="12">
        <f>H11/G11</f>
        <v>1.1707790157427038</v>
      </c>
      <c r="H37" s="12">
        <f>I11/H11</f>
        <v>1.0086688499325756</v>
      </c>
      <c r="I37"/>
      <c r="J37" s="10"/>
      <c r="O37" s="5">
        <f t="shared" si="15"/>
        <v>1985</v>
      </c>
      <c r="P37" s="25">
        <f t="shared" si="16"/>
        <v>33.175282882569114</v>
      </c>
      <c r="Q37" s="25">
        <f t="shared" si="16"/>
        <v>0.0010301976465253355</v>
      </c>
      <c r="R37" s="25">
        <f t="shared" si="16"/>
        <v>0.016647058081957208</v>
      </c>
      <c r="S37" s="25">
        <f t="shared" si="16"/>
        <v>8.021304298665813E-07</v>
      </c>
      <c r="T37" s="25">
        <f t="shared" si="16"/>
        <v>0.01096544825291412</v>
      </c>
      <c r="U37"/>
      <c r="V37" s="10"/>
      <c r="Z37"/>
    </row>
    <row r="38" spans="3:26" ht="12.75">
      <c r="C38" s="5">
        <f t="shared" si="12"/>
        <v>1986</v>
      </c>
      <c r="D38" s="12">
        <f t="shared" si="13"/>
        <v>4.259748843357568</v>
      </c>
      <c r="E38" s="12">
        <f t="shared" si="13"/>
        <v>1.8156710628394104</v>
      </c>
      <c r="F38" s="12">
        <f>G12/F12</f>
        <v>1.1053666039993164</v>
      </c>
      <c r="G38" s="12">
        <f>H12/G12</f>
        <v>1.225512176265945</v>
      </c>
      <c r="H38"/>
      <c r="I38" s="10"/>
      <c r="J38" s="10"/>
      <c r="O38" s="5">
        <f t="shared" si="15"/>
        <v>1986</v>
      </c>
      <c r="P38" s="25">
        <f t="shared" si="16"/>
        <v>1.5885834361457292</v>
      </c>
      <c r="Q38" s="25">
        <f t="shared" si="16"/>
        <v>0.03692097268459231</v>
      </c>
      <c r="R38" s="25">
        <f t="shared" si="16"/>
        <v>0.027397370615751954</v>
      </c>
      <c r="S38" s="25">
        <f t="shared" si="16"/>
        <v>0.0028984810553967563</v>
      </c>
      <c r="T38"/>
      <c r="U38" s="10"/>
      <c r="V38" s="10"/>
      <c r="Z38"/>
    </row>
    <row r="39" spans="3:26" ht="12.75">
      <c r="C39" s="5">
        <f t="shared" si="12"/>
        <v>1987</v>
      </c>
      <c r="D39" s="12">
        <f t="shared" si="13"/>
        <v>7.217235188509874</v>
      </c>
      <c r="E39" s="12">
        <f t="shared" si="13"/>
        <v>2.7228855721393033</v>
      </c>
      <c r="F39" s="12">
        <f>G13/F13</f>
        <v>1.1249771606066143</v>
      </c>
      <c r="G39"/>
      <c r="H39" s="10"/>
      <c r="I39" s="10"/>
      <c r="J39" s="10"/>
      <c r="O39" s="5">
        <f t="shared" si="15"/>
        <v>1987</v>
      </c>
      <c r="P39" s="25">
        <f t="shared" si="16"/>
        <v>17.790482482847107</v>
      </c>
      <c r="Q39" s="25">
        <f t="shared" si="16"/>
        <v>1.2085986064492782</v>
      </c>
      <c r="R39" s="25">
        <f t="shared" si="16"/>
        <v>0.02129000662239287</v>
      </c>
      <c r="S39"/>
      <c r="T39" s="10"/>
      <c r="U39" s="10"/>
      <c r="V39" s="10"/>
      <c r="Z39"/>
    </row>
    <row r="40" spans="3:26" ht="12.75">
      <c r="C40" s="5">
        <f t="shared" si="12"/>
        <v>1988</v>
      </c>
      <c r="D40" s="12">
        <f t="shared" si="13"/>
        <v>5.142116950407106</v>
      </c>
      <c r="E40" s="12">
        <f t="shared" si="13"/>
        <v>1.8874334244997841</v>
      </c>
      <c r="F40"/>
      <c r="G40" s="10"/>
      <c r="H40" s="10"/>
      <c r="I40" s="10"/>
      <c r="J40" s="10"/>
      <c r="O40" s="5">
        <f t="shared" si="15"/>
        <v>1988</v>
      </c>
      <c r="P40" s="25">
        <f t="shared" si="16"/>
        <v>4.591413128240757</v>
      </c>
      <c r="Q40" s="25">
        <f t="shared" si="16"/>
        <v>0.06964884213377798</v>
      </c>
      <c r="R40"/>
      <c r="S40" s="10"/>
      <c r="T40" s="10"/>
      <c r="U40" s="10"/>
      <c r="V40" s="10"/>
      <c r="Z40"/>
    </row>
    <row r="41" spans="3:26" ht="12.75">
      <c r="C41" s="5">
        <f t="shared" si="12"/>
        <v>1989</v>
      </c>
      <c r="D41" s="12">
        <f t="shared" si="13"/>
        <v>1.7219917012448134</v>
      </c>
      <c r="E41"/>
      <c r="F41" s="11"/>
      <c r="G41" s="10"/>
      <c r="H41" s="10"/>
      <c r="I41" s="10"/>
      <c r="J41" s="10"/>
      <c r="O41" s="5">
        <f t="shared" si="15"/>
        <v>1989</v>
      </c>
      <c r="P41" s="25">
        <f t="shared" si="16"/>
        <v>1.6316663251836745</v>
      </c>
      <c r="Q41"/>
      <c r="R41" s="11"/>
      <c r="S41" s="10"/>
      <c r="T41" s="10"/>
      <c r="U41" s="10"/>
      <c r="V41" s="10"/>
      <c r="Z41"/>
    </row>
    <row r="42" spans="1:26" ht="12.75">
      <c r="A42" s="1" t="s">
        <v>134</v>
      </c>
      <c r="D42"/>
      <c r="P42"/>
      <c r="Z42"/>
    </row>
    <row r="43" spans="1:26" ht="12.75">
      <c r="A43" s="1" t="s">
        <v>160</v>
      </c>
      <c r="C43" s="1" t="s">
        <v>20</v>
      </c>
      <c r="D43" s="20">
        <f>SUM(E7:E15)/SUMIF(E7:E15,"&gt;0",D7:D15)</f>
        <v>2.9993586513353794</v>
      </c>
      <c r="E43" s="20">
        <f>SUM(F7:F15)/SUMIF(F7:F15,"&gt;0",E7:E15)</f>
        <v>1.6235227537534538</v>
      </c>
      <c r="F43" s="20">
        <f aca="true" t="shared" si="17" ref="F43:L43">SUM(G7:G15)/SUMIF(G7:G15,"&gt;0",F7:F15)</f>
        <v>1.2708881150356526</v>
      </c>
      <c r="G43" s="20">
        <f t="shared" si="17"/>
        <v>1.1716746330883747</v>
      </c>
      <c r="H43" s="20">
        <f t="shared" si="17"/>
        <v>1.113384886206463</v>
      </c>
      <c r="I43" s="20">
        <f t="shared" si="17"/>
        <v>1.0419346379110106</v>
      </c>
      <c r="J43" s="20">
        <f t="shared" si="17"/>
        <v>1.033263553789384</v>
      </c>
      <c r="K43" s="20">
        <f t="shared" si="17"/>
        <v>1.0169364810075625</v>
      </c>
      <c r="L43" s="20">
        <f t="shared" si="17"/>
        <v>1.0092165898617511</v>
      </c>
      <c r="N43" s="21" t="s">
        <v>36</v>
      </c>
      <c r="O43" t="s">
        <v>35</v>
      </c>
      <c r="P43" s="32">
        <f>SUMPRODUCT(D7:D15,P33:P41)</f>
        <v>223067.83515234906</v>
      </c>
      <c r="Q43" s="32">
        <f aca="true" t="shared" si="18" ref="Q43:W43">SUMPRODUCT(E7:E15,Q33:Q41)</f>
        <v>7759.684002931044</v>
      </c>
      <c r="R43" s="32">
        <f t="shared" si="18"/>
        <v>4148.656707462686</v>
      </c>
      <c r="S43" s="32">
        <f t="shared" si="18"/>
        <v>306.1499769522081</v>
      </c>
      <c r="T43" s="32">
        <f t="shared" si="18"/>
        <v>477.75621596357934</v>
      </c>
      <c r="U43" s="32">
        <f t="shared" si="18"/>
        <v>122.45958805526503</v>
      </c>
      <c r="V43" s="32">
        <f t="shared" si="18"/>
        <v>2.6868509312489635</v>
      </c>
      <c r="W43" s="32">
        <f t="shared" si="18"/>
        <v>7.88320371458801</v>
      </c>
      <c r="X43"/>
      <c r="Z43"/>
    </row>
    <row r="44" spans="1:26" ht="12.75">
      <c r="A44" s="1" t="s">
        <v>160</v>
      </c>
      <c r="C44" s="1" t="s">
        <v>19</v>
      </c>
      <c r="D44" s="20">
        <f>AVERAGE(D33:D41)</f>
        <v>8.206099279541355</v>
      </c>
      <c r="E44" s="20">
        <f aca="true" t="shared" si="19" ref="E44:L44">AVERAGE(E33:E41)</f>
        <v>1.6958944658094393</v>
      </c>
      <c r="F44" s="20">
        <f t="shared" si="19"/>
        <v>1.3145103085560856</v>
      </c>
      <c r="G44" s="20">
        <f t="shared" si="19"/>
        <v>1.182925612687387</v>
      </c>
      <c r="H44" s="20">
        <f t="shared" si="19"/>
        <v>1.1269622370881962</v>
      </c>
      <c r="I44" s="20">
        <f t="shared" si="19"/>
        <v>1.0433276371038955</v>
      </c>
      <c r="J44" s="20">
        <f t="shared" si="19"/>
        <v>1.0343554004888613</v>
      </c>
      <c r="K44" s="20">
        <f t="shared" si="19"/>
        <v>1.0179949927802037</v>
      </c>
      <c r="L44" s="20">
        <f t="shared" si="19"/>
        <v>1.0092165898617511</v>
      </c>
      <c r="N44" s="21" t="s">
        <v>37</v>
      </c>
      <c r="O44" s="21" t="s">
        <v>34</v>
      </c>
      <c r="P44" s="27">
        <f>COUNT(P33:P41)-1</f>
        <v>8</v>
      </c>
      <c r="Q44" s="27">
        <f>COUNT(Q33:Q41)-1</f>
        <v>7</v>
      </c>
      <c r="R44" s="27">
        <f aca="true" t="shared" si="20" ref="R44:W44">COUNT(R33:R41)-1</f>
        <v>6</v>
      </c>
      <c r="S44" s="27">
        <f t="shared" si="20"/>
        <v>5</v>
      </c>
      <c r="T44" s="27">
        <f t="shared" si="20"/>
        <v>4</v>
      </c>
      <c r="U44" s="27">
        <f t="shared" si="20"/>
        <v>3</v>
      </c>
      <c r="V44" s="27">
        <f t="shared" si="20"/>
        <v>2</v>
      </c>
      <c r="W44" s="27">
        <f t="shared" si="20"/>
        <v>1</v>
      </c>
      <c r="X44"/>
      <c r="Z44"/>
    </row>
    <row r="45" spans="3:26" ht="12.75">
      <c r="C45" s="1" t="s">
        <v>29</v>
      </c>
      <c r="D45" s="20">
        <f aca="true" t="shared" si="21" ref="D45:J45">E45*D43</f>
        <v>8.920233896752476</v>
      </c>
      <c r="E45" s="20">
        <f t="shared" si="21"/>
        <v>2.9740470992960426</v>
      </c>
      <c r="F45" s="20">
        <f t="shared" si="21"/>
        <v>1.8318481169544962</v>
      </c>
      <c r="G45" s="20">
        <f t="shared" si="21"/>
        <v>1.441392121998959</v>
      </c>
      <c r="H45" s="20">
        <f t="shared" si="21"/>
        <v>1.2301982831186211</v>
      </c>
      <c r="I45" s="20">
        <f t="shared" si="21"/>
        <v>1.104917354599779</v>
      </c>
      <c r="J45" s="20">
        <f t="shared" si="21"/>
        <v>1.0604478576650866</v>
      </c>
      <c r="K45" s="20">
        <f>L45*K43</f>
        <v>1.0263091674684617</v>
      </c>
      <c r="L45" s="20">
        <f>L43</f>
        <v>1.0092165898617511</v>
      </c>
      <c r="N45" s="21" t="s">
        <v>38</v>
      </c>
      <c r="O45" s="29" t="s">
        <v>33</v>
      </c>
      <c r="P45" s="30">
        <f>P43/P44</f>
        <v>27883.479394043632</v>
      </c>
      <c r="Q45" s="30">
        <f aca="true" t="shared" si="22" ref="Q45:W45">Q43/Q44</f>
        <v>1108.5262861330064</v>
      </c>
      <c r="R45" s="30">
        <f t="shared" si="22"/>
        <v>691.4427845771144</v>
      </c>
      <c r="S45" s="30">
        <f t="shared" si="22"/>
        <v>61.229995390441616</v>
      </c>
      <c r="T45" s="30">
        <f t="shared" si="22"/>
        <v>119.43905399089483</v>
      </c>
      <c r="U45" s="30">
        <f t="shared" si="22"/>
        <v>40.819862685088346</v>
      </c>
      <c r="V45" s="30">
        <f t="shared" si="22"/>
        <v>1.3434254656244817</v>
      </c>
      <c r="W45" s="30">
        <f t="shared" si="22"/>
        <v>7.88320371458801</v>
      </c>
      <c r="X45"/>
      <c r="Z45"/>
    </row>
    <row r="46" spans="3:35" ht="12.75">
      <c r="C46"/>
      <c r="O46" s="31" t="s">
        <v>41</v>
      </c>
      <c r="P46" s="33">
        <v>27883</v>
      </c>
      <c r="Q46" s="33">
        <v>1109</v>
      </c>
      <c r="R46" s="33">
        <v>691</v>
      </c>
      <c r="S46" s="33">
        <v>61.2</v>
      </c>
      <c r="T46" s="33">
        <v>119</v>
      </c>
      <c r="U46" s="33">
        <v>40.8</v>
      </c>
      <c r="V46" s="33">
        <v>1.34</v>
      </c>
      <c r="W46" s="33">
        <v>7.88</v>
      </c>
      <c r="Z46"/>
      <c r="AA46"/>
      <c r="AB46"/>
      <c r="AC46"/>
      <c r="AD46"/>
      <c r="AE46"/>
      <c r="AF46"/>
      <c r="AG46"/>
      <c r="AH46"/>
      <c r="AI46"/>
    </row>
    <row r="47" spans="3:35" ht="12.75">
      <c r="C47" s="16" t="s">
        <v>98</v>
      </c>
      <c r="D47" s="2"/>
      <c r="E47" s="2"/>
      <c r="F47" s="2"/>
      <c r="G47" s="2"/>
      <c r="H47" s="2"/>
      <c r="K47"/>
      <c r="L47"/>
      <c r="O47" s="31"/>
      <c r="P47" s="33"/>
      <c r="Q47" s="33"/>
      <c r="R47" s="33"/>
      <c r="S47" s="33"/>
      <c r="T47" s="33"/>
      <c r="U47" s="33"/>
      <c r="V47" s="33"/>
      <c r="W47" s="33"/>
      <c r="Z47"/>
      <c r="AA47"/>
      <c r="AB47"/>
      <c r="AC47"/>
      <c r="AD47"/>
      <c r="AE47"/>
      <c r="AF47"/>
      <c r="AG47"/>
      <c r="AH47"/>
      <c r="AI47"/>
    </row>
    <row r="48" spans="3:35" ht="12.75">
      <c r="C48" s="3" t="s">
        <v>1</v>
      </c>
      <c r="D48" s="7">
        <v>1</v>
      </c>
      <c r="E48" s="7">
        <f aca="true" t="shared" si="23" ref="E48:L48">D48+1</f>
        <v>2</v>
      </c>
      <c r="F48" s="7">
        <f t="shared" si="23"/>
        <v>3</v>
      </c>
      <c r="G48" s="7">
        <f t="shared" si="23"/>
        <v>4</v>
      </c>
      <c r="H48" s="7">
        <f t="shared" si="23"/>
        <v>5</v>
      </c>
      <c r="I48" s="7">
        <f t="shared" si="23"/>
        <v>6</v>
      </c>
      <c r="J48" s="7">
        <f t="shared" si="23"/>
        <v>7</v>
      </c>
      <c r="K48" s="7">
        <f t="shared" si="23"/>
        <v>8</v>
      </c>
      <c r="L48" s="7">
        <f t="shared" si="23"/>
        <v>9</v>
      </c>
      <c r="O48" s="31"/>
      <c r="P48" s="33"/>
      <c r="Q48" s="33"/>
      <c r="R48" s="33"/>
      <c r="S48" s="33"/>
      <c r="T48" s="33"/>
      <c r="U48" s="33"/>
      <c r="V48" s="33"/>
      <c r="W48" s="33"/>
      <c r="Z48"/>
      <c r="AA48"/>
      <c r="AB48"/>
      <c r="AC48"/>
      <c r="AD48"/>
      <c r="AE48"/>
      <c r="AF48"/>
      <c r="AG48"/>
      <c r="AH48"/>
      <c r="AI48"/>
    </row>
    <row r="49" spans="3:35" ht="12.75">
      <c r="C49" s="3">
        <v>1981</v>
      </c>
      <c r="D49" s="12">
        <f aca="true" t="shared" si="24" ref="D49:L49">(D33-D$44)^2</f>
        <v>42.98453071742072</v>
      </c>
      <c r="E49" s="12">
        <f t="shared" si="24"/>
        <v>0.14203220993981097</v>
      </c>
      <c r="F49" s="12">
        <f t="shared" si="24"/>
        <v>0.05390655937244708</v>
      </c>
      <c r="G49" s="12">
        <f t="shared" si="24"/>
        <v>0.0012987879237893144</v>
      </c>
      <c r="H49" s="12">
        <f t="shared" si="24"/>
        <v>0.0046482027228546665</v>
      </c>
      <c r="I49" s="12">
        <f t="shared" si="24"/>
        <v>0.004850337868559579</v>
      </c>
      <c r="J49" s="12">
        <f t="shared" si="24"/>
        <v>1.1973902510452202E-06</v>
      </c>
      <c r="K49" s="12">
        <f t="shared" si="24"/>
        <v>0.0002277991059009485</v>
      </c>
      <c r="L49" s="12">
        <f t="shared" si="24"/>
        <v>0</v>
      </c>
      <c r="O49" s="31"/>
      <c r="P49" s="33"/>
      <c r="Q49" s="33"/>
      <c r="R49" s="33"/>
      <c r="S49" s="33"/>
      <c r="T49" s="33"/>
      <c r="U49" s="33"/>
      <c r="V49" s="33"/>
      <c r="W49" s="33"/>
      <c r="Z49"/>
      <c r="AA49"/>
      <c r="AB49"/>
      <c r="AC49"/>
      <c r="AD49"/>
      <c r="AE49"/>
      <c r="AF49"/>
      <c r="AG49"/>
      <c r="AH49"/>
      <c r="AI49"/>
    </row>
    <row r="50" spans="3:35" ht="12.75">
      <c r="C50" s="5">
        <f aca="true" t="shared" si="25" ref="C50:C57">C49+1</f>
        <v>1982</v>
      </c>
      <c r="D50" s="12">
        <f aca="true" t="shared" si="26" ref="D50:E57">(D34-D$44)^2</f>
        <v>1038.027168667911</v>
      </c>
      <c r="E50" s="12">
        <f t="shared" si="26"/>
        <v>0.19063520781924426</v>
      </c>
      <c r="F50" s="12">
        <f aca="true" t="shared" si="27" ref="F50:K50">(F34-F$44)^2</f>
        <v>0.43842813656221014</v>
      </c>
      <c r="G50" s="12">
        <f t="shared" si="27"/>
        <v>0.011928494255950085</v>
      </c>
      <c r="H50" s="12">
        <f t="shared" si="27"/>
        <v>2.3779208778537014E-05</v>
      </c>
      <c r="I50" s="12">
        <f t="shared" si="27"/>
        <v>0.002493067260451569</v>
      </c>
      <c r="J50" s="12">
        <f t="shared" si="27"/>
        <v>8.23585696279313E-05</v>
      </c>
      <c r="K50" s="12">
        <f t="shared" si="27"/>
        <v>0.0002277991059009418</v>
      </c>
      <c r="O50" s="31"/>
      <c r="P50" s="33"/>
      <c r="Q50" s="33"/>
      <c r="R50" s="33"/>
      <c r="S50" s="33"/>
      <c r="T50" s="33"/>
      <c r="U50" s="33"/>
      <c r="V50" s="33"/>
      <c r="W50" s="33"/>
      <c r="Z50"/>
      <c r="AA50"/>
      <c r="AB50"/>
      <c r="AC50"/>
      <c r="AD50"/>
      <c r="AE50"/>
      <c r="AF50"/>
      <c r="AG50"/>
      <c r="AH50"/>
      <c r="AI50"/>
    </row>
    <row r="51" spans="3:35" ht="12.75">
      <c r="C51" s="5">
        <f t="shared" si="25"/>
        <v>1983</v>
      </c>
      <c r="D51" s="12">
        <f t="shared" si="26"/>
        <v>31.015422064634414</v>
      </c>
      <c r="E51" s="12">
        <f t="shared" si="26"/>
        <v>0.02343306681281503</v>
      </c>
      <c r="F51" s="12">
        <f>(F35-F$44)^2</f>
        <v>0.02280924050515704</v>
      </c>
      <c r="G51" s="12">
        <f>(G35-G$44)^2</f>
        <v>0.0004935888052940233</v>
      </c>
      <c r="H51" s="12">
        <f>(H35-H$44)^2</f>
        <v>0.0034495636159021822</v>
      </c>
      <c r="I51" s="12">
        <f>(I35-I$44)^2</f>
        <v>0.00019914366845382375</v>
      </c>
      <c r="J51" s="12">
        <f>(J35-J$44)^2</f>
        <v>6.36949077051818E-05</v>
      </c>
      <c r="O51" s="31"/>
      <c r="P51" s="33"/>
      <c r="Q51" s="33"/>
      <c r="R51" s="33"/>
      <c r="S51" s="33"/>
      <c r="T51" s="33"/>
      <c r="U51" s="33"/>
      <c r="V51" s="33"/>
      <c r="W51" s="33"/>
      <c r="Z51"/>
      <c r="AA51"/>
      <c r="AB51"/>
      <c r="AC51"/>
      <c r="AD51"/>
      <c r="AE51"/>
      <c r="AF51"/>
      <c r="AG51"/>
      <c r="AH51"/>
      <c r="AI51"/>
    </row>
    <row r="52" spans="3:35" ht="12.75">
      <c r="C52" s="5">
        <f t="shared" si="25"/>
        <v>1984</v>
      </c>
      <c r="D52" s="12">
        <f t="shared" si="26"/>
        <v>37.97979308688126</v>
      </c>
      <c r="E52" s="12">
        <f t="shared" si="26"/>
        <v>0.10986804092754986</v>
      </c>
      <c r="F52" s="12">
        <f>(F36-F$44)^2</f>
        <v>0.001179349017970582</v>
      </c>
      <c r="G52" s="12">
        <f>(G36-G$44)^2</f>
        <v>0.006626294388115252</v>
      </c>
      <c r="H52" s="12">
        <f>(H36-H$44)^2</f>
        <v>0.00018208049417463193</v>
      </c>
      <c r="I52" s="12">
        <f>(I36-I$44)^2</f>
        <v>3.138145580628341E-05</v>
      </c>
      <c r="J52"/>
      <c r="O52" s="31"/>
      <c r="P52" s="33"/>
      <c r="Q52" s="33"/>
      <c r="R52" s="33"/>
      <c r="S52" s="33"/>
      <c r="T52" s="33"/>
      <c r="U52" s="33"/>
      <c r="V52" s="33"/>
      <c r="W52" s="33"/>
      <c r="Z52"/>
      <c r="AA52"/>
      <c r="AB52"/>
      <c r="AC52"/>
      <c r="AD52"/>
      <c r="AE52"/>
      <c r="AF52"/>
      <c r="AG52"/>
      <c r="AH52"/>
      <c r="AI52"/>
    </row>
    <row r="53" spans="3:35" ht="12.75">
      <c r="C53" s="5">
        <f t="shared" si="25"/>
        <v>1985</v>
      </c>
      <c r="D53" s="12">
        <f t="shared" si="26"/>
        <v>0.3058734053461542</v>
      </c>
      <c r="E53" s="12">
        <f t="shared" si="26"/>
        <v>0.0016220772289878406</v>
      </c>
      <c r="F53" s="12">
        <f>(F37-F$44)^2</f>
        <v>0.007293379527602639</v>
      </c>
      <c r="G53" s="12">
        <f>(G37-G$44)^2</f>
        <v>0.00014753981733658798</v>
      </c>
      <c r="H53" s="12">
        <f>(H37-H$44)^2</f>
        <v>0.013993325444749558</v>
      </c>
      <c r="I53"/>
      <c r="J53" s="10"/>
      <c r="O53" s="31"/>
      <c r="P53" s="33"/>
      <c r="Q53" s="33"/>
      <c r="R53" s="33"/>
      <c r="S53" s="33"/>
      <c r="T53" s="33"/>
      <c r="U53" s="33"/>
      <c r="V53" s="33"/>
      <c r="W53" s="33"/>
      <c r="Z53"/>
      <c r="AA53"/>
      <c r="AB53"/>
      <c r="AC53"/>
      <c r="AD53"/>
      <c r="AE53"/>
      <c r="AF53"/>
      <c r="AG53"/>
      <c r="AH53"/>
      <c r="AI53"/>
    </row>
    <row r="54" spans="3:35" ht="12.75">
      <c r="C54" s="5">
        <f t="shared" si="25"/>
        <v>1986</v>
      </c>
      <c r="D54" s="12">
        <f t="shared" si="26"/>
        <v>15.57368176516797</v>
      </c>
      <c r="E54" s="12">
        <f t="shared" si="26"/>
        <v>0.014346433196080087</v>
      </c>
      <c r="F54" s="12">
        <f>(F38-F$44)^2</f>
        <v>0.043741089155729176</v>
      </c>
      <c r="G54" s="12">
        <f>(G38-G$44)^2</f>
        <v>0.0018136153974305676</v>
      </c>
      <c r="H54"/>
      <c r="I54" s="10"/>
      <c r="J54" s="10"/>
      <c r="O54" s="31"/>
      <c r="P54" s="33"/>
      <c r="Q54" s="33"/>
      <c r="R54" s="33"/>
      <c r="S54" s="33"/>
      <c r="T54" s="33"/>
      <c r="U54" s="33"/>
      <c r="V54" s="33"/>
      <c r="W54" s="33"/>
      <c r="Z54"/>
      <c r="AA54"/>
      <c r="AB54"/>
      <c r="AC54"/>
      <c r="AD54"/>
      <c r="AE54"/>
      <c r="AF54"/>
      <c r="AG54"/>
      <c r="AH54"/>
      <c r="AI54"/>
    </row>
    <row r="55" spans="3:35" ht="12.75">
      <c r="C55" s="5">
        <f t="shared" si="25"/>
        <v>1987</v>
      </c>
      <c r="D55" s="12">
        <f t="shared" si="26"/>
        <v>0.977852190531518</v>
      </c>
      <c r="E55" s="12">
        <f t="shared" si="26"/>
        <v>1.054710732480638</v>
      </c>
      <c r="F55" s="12">
        <f>(F39-F$44)^2</f>
        <v>0.035922814171636175</v>
      </c>
      <c r="G55"/>
      <c r="H55" s="10"/>
      <c r="I55" s="10"/>
      <c r="J55" s="10"/>
      <c r="O55" s="31"/>
      <c r="P55" s="33"/>
      <c r="Q55" s="33"/>
      <c r="R55" s="33"/>
      <c r="S55" s="33"/>
      <c r="T55" s="33"/>
      <c r="U55" s="33"/>
      <c r="V55" s="33"/>
      <c r="W55" s="33"/>
      <c r="Z55"/>
      <c r="AA55"/>
      <c r="AB55"/>
      <c r="AC55"/>
      <c r="AD55"/>
      <c r="AE55"/>
      <c r="AF55"/>
      <c r="AG55"/>
      <c r="AH55"/>
      <c r="AI55"/>
    </row>
    <row r="56" spans="3:35" ht="12.75">
      <c r="C56" s="5">
        <f t="shared" si="25"/>
        <v>1988</v>
      </c>
      <c r="D56" s="12">
        <f t="shared" si="26"/>
        <v>9.387987713246943</v>
      </c>
      <c r="E56" s="12">
        <f t="shared" si="26"/>
        <v>0.03668717269618164</v>
      </c>
      <c r="F56"/>
      <c r="G56" s="10"/>
      <c r="H56" s="10"/>
      <c r="I56" s="10"/>
      <c r="J56" s="10"/>
      <c r="O56" s="31"/>
      <c r="P56" s="33"/>
      <c r="Q56" s="33"/>
      <c r="R56" s="33"/>
      <c r="S56" s="33"/>
      <c r="T56" s="33"/>
      <c r="U56" s="33"/>
      <c r="V56" s="33"/>
      <c r="W56" s="33"/>
      <c r="Z56"/>
      <c r="AA56"/>
      <c r="AB56"/>
      <c r="AC56"/>
      <c r="AD56"/>
      <c r="AE56"/>
      <c r="AF56"/>
      <c r="AG56"/>
      <c r="AH56"/>
      <c r="AI56"/>
    </row>
    <row r="57" spans="3:35" ht="12.75">
      <c r="C57" s="5">
        <f t="shared" si="25"/>
        <v>1989</v>
      </c>
      <c r="D57" s="12">
        <f t="shared" si="26"/>
        <v>42.043651086922644</v>
      </c>
      <c r="E57"/>
      <c r="F57" s="11"/>
      <c r="G57" s="10"/>
      <c r="H57" s="10"/>
      <c r="I57" s="10"/>
      <c r="J57" s="10"/>
      <c r="O57" s="31"/>
      <c r="P57" s="33"/>
      <c r="Q57" s="33"/>
      <c r="R57" s="33"/>
      <c r="S57" s="33"/>
      <c r="T57" s="33"/>
      <c r="U57" s="33"/>
      <c r="V57" s="33"/>
      <c r="W57" s="33"/>
      <c r="Z57"/>
      <c r="AA57"/>
      <c r="AB57"/>
      <c r="AC57"/>
      <c r="AD57"/>
      <c r="AE57"/>
      <c r="AF57"/>
      <c r="AG57"/>
      <c r="AH57"/>
      <c r="AI57"/>
    </row>
    <row r="58" spans="1:35" ht="12.75">
      <c r="A58" s="1" t="s">
        <v>134</v>
      </c>
      <c r="D58"/>
      <c r="O58" s="31"/>
      <c r="P58" s="33"/>
      <c r="Q58" s="33"/>
      <c r="R58" s="33"/>
      <c r="S58" s="33"/>
      <c r="T58" s="33"/>
      <c r="U58" s="33"/>
      <c r="V58" s="33"/>
      <c r="W58" s="33"/>
      <c r="Z58"/>
      <c r="AA58"/>
      <c r="AB58"/>
      <c r="AC58"/>
      <c r="AD58"/>
      <c r="AE58"/>
      <c r="AF58"/>
      <c r="AG58"/>
      <c r="AH58"/>
      <c r="AI58"/>
    </row>
    <row r="59" spans="1:35" ht="12.75">
      <c r="A59" s="1" t="s">
        <v>160</v>
      </c>
      <c r="C59" t="s">
        <v>158</v>
      </c>
      <c r="D59" s="12">
        <f>COUNT(D49:D57)-1</f>
        <v>8</v>
      </c>
      <c r="E59" s="12">
        <f aca="true" t="shared" si="28" ref="E59:K59">COUNT(E49:E57)-1</f>
        <v>7</v>
      </c>
      <c r="F59" s="12">
        <f t="shared" si="28"/>
        <v>6</v>
      </c>
      <c r="G59" s="12">
        <f t="shared" si="28"/>
        <v>5</v>
      </c>
      <c r="H59" s="12">
        <f t="shared" si="28"/>
        <v>4</v>
      </c>
      <c r="I59" s="12">
        <f t="shared" si="28"/>
        <v>3</v>
      </c>
      <c r="J59" s="12">
        <f t="shared" si="28"/>
        <v>2</v>
      </c>
      <c r="K59" s="12">
        <f t="shared" si="28"/>
        <v>1</v>
      </c>
      <c r="L59"/>
      <c r="O59" s="31"/>
      <c r="P59" s="33"/>
      <c r="Q59" s="33"/>
      <c r="R59" s="33"/>
      <c r="S59" s="33"/>
      <c r="T59" s="33"/>
      <c r="U59" s="33"/>
      <c r="V59" s="33"/>
      <c r="W59" s="33"/>
      <c r="Z59"/>
      <c r="AA59"/>
      <c r="AB59"/>
      <c r="AC59"/>
      <c r="AD59"/>
      <c r="AE59"/>
      <c r="AF59"/>
      <c r="AG59"/>
      <c r="AH59"/>
      <c r="AI59"/>
    </row>
    <row r="60" spans="1:35" ht="12.75">
      <c r="A60" s="1" t="s">
        <v>160</v>
      </c>
      <c r="C60" s="1" t="s">
        <v>99</v>
      </c>
      <c r="D60" s="20">
        <f>SUM(D49:D57)/D59</f>
        <v>152.28699508725782</v>
      </c>
      <c r="E60" s="20">
        <f aca="true" t="shared" si="29" ref="E60:K60">SUM(E49:E57)/E59</f>
        <v>0.22476213444304396</v>
      </c>
      <c r="F60" s="20">
        <f t="shared" si="29"/>
        <v>0.10054676138545882</v>
      </c>
      <c r="G60" s="20">
        <f t="shared" si="29"/>
        <v>0.004461664117583167</v>
      </c>
      <c r="H60" s="20">
        <f t="shared" si="29"/>
        <v>0.005574237871614894</v>
      </c>
      <c r="I60" s="20">
        <f t="shared" si="29"/>
        <v>0.0025246434177570855</v>
      </c>
      <c r="J60" s="20">
        <f t="shared" si="29"/>
        <v>7.362543379207916E-05</v>
      </c>
      <c r="K60" s="20">
        <f t="shared" si="29"/>
        <v>0.0004555982118018903</v>
      </c>
      <c r="L60" s="20">
        <f>AVERAGE(L49:L57)</f>
        <v>0</v>
      </c>
      <c r="O60" s="31"/>
      <c r="P60" s="33"/>
      <c r="Q60" s="33"/>
      <c r="R60" s="33"/>
      <c r="S60" s="33"/>
      <c r="T60" s="33"/>
      <c r="U60" s="33"/>
      <c r="V60" s="33"/>
      <c r="W60" s="33"/>
      <c r="Z60"/>
      <c r="AA60"/>
      <c r="AB60"/>
      <c r="AC60"/>
      <c r="AD60"/>
      <c r="AE60"/>
      <c r="AF60"/>
      <c r="AG60"/>
      <c r="AH60"/>
      <c r="AI60"/>
    </row>
    <row r="61" spans="1:35" ht="12.75">
      <c r="A61" s="1" t="s">
        <v>160</v>
      </c>
      <c r="C61" s="1" t="s">
        <v>105</v>
      </c>
      <c r="D61" s="20">
        <f>SQRT(D60)</f>
        <v>12.340461704784705</v>
      </c>
      <c r="E61" s="20">
        <f aca="true" t="shared" si="30" ref="E61:J61">SQRT(E60)</f>
        <v>0.47409085041059795</v>
      </c>
      <c r="F61" s="20">
        <f t="shared" si="30"/>
        <v>0.3170910931979308</v>
      </c>
      <c r="G61" s="20">
        <f t="shared" si="30"/>
        <v>0.0667956893637843</v>
      </c>
      <c r="H61" s="20">
        <f t="shared" si="30"/>
        <v>0.07466081885175714</v>
      </c>
      <c r="I61" s="20">
        <f t="shared" si="30"/>
        <v>0.050245829854397725</v>
      </c>
      <c r="J61" s="20">
        <f t="shared" si="30"/>
        <v>0.008580526428610262</v>
      </c>
      <c r="K61" s="20"/>
      <c r="L61" s="20"/>
      <c r="O61" s="31"/>
      <c r="P61" s="33"/>
      <c r="Q61" s="33"/>
      <c r="R61" s="33"/>
      <c r="S61" s="33"/>
      <c r="T61" s="33"/>
      <c r="U61" s="33"/>
      <c r="V61" s="33"/>
      <c r="W61" s="33"/>
      <c r="Z61"/>
      <c r="AA61"/>
      <c r="AB61"/>
      <c r="AC61"/>
      <c r="AD61"/>
      <c r="AE61"/>
      <c r="AF61"/>
      <c r="AG61"/>
      <c r="AH61"/>
      <c r="AI61"/>
    </row>
    <row r="62" spans="3:35" ht="12.75">
      <c r="C62"/>
      <c r="D62"/>
      <c r="E62"/>
      <c r="F62"/>
      <c r="G62"/>
      <c r="H62"/>
      <c r="I62"/>
      <c r="J62"/>
      <c r="K62"/>
      <c r="L62"/>
      <c r="O62" s="31"/>
      <c r="P62" s="33"/>
      <c r="Q62" s="33"/>
      <c r="R62" s="33"/>
      <c r="S62" s="33"/>
      <c r="T62" s="33"/>
      <c r="U62" s="33"/>
      <c r="V62" s="33"/>
      <c r="W62" s="33"/>
      <c r="Z62"/>
      <c r="AA62"/>
      <c r="AB62"/>
      <c r="AC62"/>
      <c r="AD62"/>
      <c r="AE62"/>
      <c r="AF62"/>
      <c r="AG62"/>
      <c r="AH62"/>
      <c r="AI62"/>
    </row>
    <row r="63" spans="3:35" ht="12.75">
      <c r="C63" s="16" t="s">
        <v>106</v>
      </c>
      <c r="D63" s="2"/>
      <c r="E63" s="2"/>
      <c r="F63" s="2"/>
      <c r="G63" s="2"/>
      <c r="H63" s="2"/>
      <c r="K63"/>
      <c r="L63"/>
      <c r="O63" s="31"/>
      <c r="P63" s="33"/>
      <c r="Q63" s="33"/>
      <c r="R63" s="33"/>
      <c r="S63" s="33"/>
      <c r="T63" s="33"/>
      <c r="U63" s="33"/>
      <c r="V63" s="33"/>
      <c r="W63" s="33"/>
      <c r="Z63"/>
      <c r="AA63"/>
      <c r="AB63"/>
      <c r="AC63"/>
      <c r="AD63"/>
      <c r="AE63"/>
      <c r="AF63"/>
      <c r="AG63"/>
      <c r="AH63"/>
      <c r="AI63"/>
    </row>
    <row r="64" spans="3:35" ht="12.75">
      <c r="C64" s="3" t="s">
        <v>1</v>
      </c>
      <c r="D64" s="7">
        <v>1</v>
      </c>
      <c r="E64" s="7">
        <f aca="true" t="shared" si="31" ref="E64:L64">D64+1</f>
        <v>2</v>
      </c>
      <c r="F64" s="7">
        <f t="shared" si="31"/>
        <v>3</v>
      </c>
      <c r="G64" s="7">
        <f t="shared" si="31"/>
        <v>4</v>
      </c>
      <c r="H64" s="7">
        <f t="shared" si="31"/>
        <v>5</v>
      </c>
      <c r="I64" s="7">
        <f t="shared" si="31"/>
        <v>6</v>
      </c>
      <c r="J64" s="7">
        <f t="shared" si="31"/>
        <v>7</v>
      </c>
      <c r="K64" s="7">
        <f t="shared" si="31"/>
        <v>8</v>
      </c>
      <c r="L64" s="7">
        <f t="shared" si="31"/>
        <v>9</v>
      </c>
      <c r="O64" s="31"/>
      <c r="P64" s="33"/>
      <c r="Q64" s="33"/>
      <c r="R64" s="33"/>
      <c r="S64" s="33"/>
      <c r="T64" s="33"/>
      <c r="U64" s="33"/>
      <c r="V64" s="33"/>
      <c r="W64" s="33"/>
      <c r="Z64"/>
      <c r="AA64"/>
      <c r="AB64"/>
      <c r="AC64"/>
      <c r="AD64"/>
      <c r="AE64"/>
      <c r="AF64"/>
      <c r="AG64"/>
      <c r="AH64"/>
      <c r="AI64"/>
    </row>
    <row r="65" spans="3:35" ht="12.75">
      <c r="C65" s="3">
        <v>1981</v>
      </c>
      <c r="D65" s="130">
        <f aca="true" t="shared" si="32" ref="D65:K65">D7</f>
        <v>5012</v>
      </c>
      <c r="E65" s="130">
        <f t="shared" si="32"/>
        <v>8269</v>
      </c>
      <c r="F65" s="130">
        <f t="shared" si="32"/>
        <v>10907</v>
      </c>
      <c r="G65" s="130">
        <f t="shared" si="32"/>
        <v>11805</v>
      </c>
      <c r="H65" s="130">
        <f t="shared" si="32"/>
        <v>13539</v>
      </c>
      <c r="I65" s="130">
        <f t="shared" si="32"/>
        <v>16181</v>
      </c>
      <c r="J65" s="130">
        <f t="shared" si="32"/>
        <v>18009</v>
      </c>
      <c r="K65" s="130">
        <f t="shared" si="32"/>
        <v>18608</v>
      </c>
      <c r="L65"/>
      <c r="O65" s="31"/>
      <c r="P65" s="33"/>
      <c r="Q65" s="33"/>
      <c r="R65" s="33"/>
      <c r="S65" s="33"/>
      <c r="T65" s="33"/>
      <c r="U65" s="33"/>
      <c r="V65" s="33"/>
      <c r="W65" s="33"/>
      <c r="Z65"/>
      <c r="AA65"/>
      <c r="AB65"/>
      <c r="AC65"/>
      <c r="AD65"/>
      <c r="AE65"/>
      <c r="AF65"/>
      <c r="AG65"/>
      <c r="AH65"/>
      <c r="AI65"/>
    </row>
    <row r="66" spans="3:35" ht="12.75">
      <c r="C66" s="5">
        <f aca="true" t="shared" si="33" ref="C66:C73">C65+1</f>
        <v>1982</v>
      </c>
      <c r="D66" s="130">
        <f aca="true" t="shared" si="34" ref="D66:E73">D8</f>
        <v>106</v>
      </c>
      <c r="E66" s="130">
        <f t="shared" si="34"/>
        <v>4285</v>
      </c>
      <c r="F66" s="130">
        <f aca="true" t="shared" si="35" ref="F66:K66">F8</f>
        <v>5396</v>
      </c>
      <c r="G66" s="130">
        <f t="shared" si="35"/>
        <v>10666</v>
      </c>
      <c r="H66" s="130">
        <f t="shared" si="35"/>
        <v>13782</v>
      </c>
      <c r="I66" s="130">
        <f t="shared" si="35"/>
        <v>15599</v>
      </c>
      <c r="J66" s="130">
        <f t="shared" si="35"/>
        <v>15496</v>
      </c>
      <c r="K66" s="130">
        <f t="shared" si="35"/>
        <v>16169</v>
      </c>
      <c r="O66" s="31"/>
      <c r="P66" s="33"/>
      <c r="Q66" s="33"/>
      <c r="R66" s="33"/>
      <c r="S66" s="33"/>
      <c r="T66" s="33"/>
      <c r="U66" s="33"/>
      <c r="V66" s="33"/>
      <c r="W66" s="33"/>
      <c r="Z66"/>
      <c r="AA66"/>
      <c r="AB66"/>
      <c r="AC66"/>
      <c r="AD66"/>
      <c r="AE66"/>
      <c r="AF66"/>
      <c r="AG66"/>
      <c r="AH66"/>
      <c r="AI66"/>
    </row>
    <row r="67" spans="3:35" ht="12.75">
      <c r="C67" s="5">
        <f t="shared" si="33"/>
        <v>1983</v>
      </c>
      <c r="D67" s="130">
        <f t="shared" si="34"/>
        <v>3410</v>
      </c>
      <c r="E67" s="130">
        <f t="shared" si="34"/>
        <v>8992</v>
      </c>
      <c r="F67" s="130">
        <f>F9</f>
        <v>13873</v>
      </c>
      <c r="G67" s="130">
        <f>G9</f>
        <v>16141</v>
      </c>
      <c r="H67" s="130">
        <f>H9</f>
        <v>18735</v>
      </c>
      <c r="I67" s="130">
        <f>I9</f>
        <v>22214</v>
      </c>
      <c r="J67" s="130">
        <f>J9</f>
        <v>22863</v>
      </c>
      <c r="K67" s="131"/>
      <c r="O67" s="31"/>
      <c r="P67" s="33"/>
      <c r="Q67" s="33"/>
      <c r="R67" s="33"/>
      <c r="S67" s="33"/>
      <c r="T67" s="33"/>
      <c r="U67" s="33"/>
      <c r="V67" s="33"/>
      <c r="W67" s="33"/>
      <c r="Z67"/>
      <c r="AA67"/>
      <c r="AB67"/>
      <c r="AC67"/>
      <c r="AD67"/>
      <c r="AE67"/>
      <c r="AF67"/>
      <c r="AG67"/>
      <c r="AH67"/>
      <c r="AI67"/>
    </row>
    <row r="68" spans="3:35" ht="12.75">
      <c r="C68" s="5">
        <f t="shared" si="33"/>
        <v>1984</v>
      </c>
      <c r="D68" s="130">
        <f t="shared" si="34"/>
        <v>5655</v>
      </c>
      <c r="E68" s="130">
        <f t="shared" si="34"/>
        <v>11555</v>
      </c>
      <c r="F68" s="130">
        <f>F10</f>
        <v>15766</v>
      </c>
      <c r="G68" s="130">
        <f>G10</f>
        <v>21266</v>
      </c>
      <c r="H68" s="130">
        <f>H10</f>
        <v>23425</v>
      </c>
      <c r="I68" s="130">
        <f>I10</f>
        <v>26083</v>
      </c>
      <c r="J68" s="132"/>
      <c r="K68" s="131"/>
      <c r="O68" s="31"/>
      <c r="P68" s="33"/>
      <c r="Q68" s="33"/>
      <c r="R68" s="33"/>
      <c r="S68" s="33"/>
      <c r="T68" s="33"/>
      <c r="U68" s="33"/>
      <c r="V68" s="33"/>
      <c r="W68" s="33"/>
      <c r="Z68"/>
      <c r="AA68"/>
      <c r="AB68"/>
      <c r="AC68"/>
      <c r="AD68"/>
      <c r="AE68"/>
      <c r="AF68"/>
      <c r="AG68"/>
      <c r="AH68"/>
      <c r="AI68"/>
    </row>
    <row r="69" spans="3:35" ht="12.75">
      <c r="C69" s="5">
        <f t="shared" si="33"/>
        <v>1985</v>
      </c>
      <c r="D69" s="130">
        <f t="shared" si="34"/>
        <v>1092</v>
      </c>
      <c r="E69" s="130">
        <f t="shared" si="34"/>
        <v>9565</v>
      </c>
      <c r="F69" s="130">
        <f>F11</f>
        <v>15836</v>
      </c>
      <c r="G69" s="130">
        <f>G11</f>
        <v>22169</v>
      </c>
      <c r="H69" s="130">
        <f>H11</f>
        <v>25955</v>
      </c>
      <c r="I69" s="132"/>
      <c r="J69" s="133"/>
      <c r="K69" s="131"/>
      <c r="O69" s="31"/>
      <c r="P69" s="33"/>
      <c r="Q69" s="33"/>
      <c r="R69" s="33"/>
      <c r="S69" s="33"/>
      <c r="T69" s="33"/>
      <c r="U69" s="33"/>
      <c r="V69" s="33"/>
      <c r="W69" s="33"/>
      <c r="Z69"/>
      <c r="AA69"/>
      <c r="AB69"/>
      <c r="AC69"/>
      <c r="AD69"/>
      <c r="AE69"/>
      <c r="AF69"/>
      <c r="AG69"/>
      <c r="AH69"/>
      <c r="AI69"/>
    </row>
    <row r="70" spans="3:35" ht="12.75">
      <c r="C70" s="5">
        <f t="shared" si="33"/>
        <v>1986</v>
      </c>
      <c r="D70" s="130">
        <f t="shared" si="34"/>
        <v>1513</v>
      </c>
      <c r="E70" s="130">
        <f t="shared" si="34"/>
        <v>6445</v>
      </c>
      <c r="F70" s="130">
        <f>F12</f>
        <v>11702</v>
      </c>
      <c r="G70" s="130">
        <f>G12</f>
        <v>12935</v>
      </c>
      <c r="H70" s="132"/>
      <c r="I70" s="133"/>
      <c r="J70" s="133"/>
      <c r="K70" s="131"/>
      <c r="O70" s="31"/>
      <c r="P70" s="33"/>
      <c r="Q70" s="33"/>
      <c r="R70" s="33"/>
      <c r="S70" s="33"/>
      <c r="T70" s="33"/>
      <c r="U70" s="33"/>
      <c r="V70" s="33"/>
      <c r="W70" s="33"/>
      <c r="Z70"/>
      <c r="AA70"/>
      <c r="AB70"/>
      <c r="AC70"/>
      <c r="AD70"/>
      <c r="AE70"/>
      <c r="AF70"/>
      <c r="AG70"/>
      <c r="AH70"/>
      <c r="AI70"/>
    </row>
    <row r="71" spans="3:35" ht="12.75">
      <c r="C71" s="5">
        <f t="shared" si="33"/>
        <v>1987</v>
      </c>
      <c r="D71" s="130">
        <f t="shared" si="34"/>
        <v>557</v>
      </c>
      <c r="E71" s="130">
        <f t="shared" si="34"/>
        <v>4020</v>
      </c>
      <c r="F71" s="130">
        <f>F13</f>
        <v>10946</v>
      </c>
      <c r="G71" s="132"/>
      <c r="H71" s="133"/>
      <c r="I71" s="133"/>
      <c r="J71" s="133"/>
      <c r="K71" s="131"/>
      <c r="O71" s="31"/>
      <c r="P71" s="33"/>
      <c r="Q71" s="33"/>
      <c r="R71" s="33"/>
      <c r="S71" s="33"/>
      <c r="T71" s="33"/>
      <c r="U71" s="33"/>
      <c r="V71" s="33"/>
      <c r="W71" s="33"/>
      <c r="Z71"/>
      <c r="AA71"/>
      <c r="AB71"/>
      <c r="AC71"/>
      <c r="AD71"/>
      <c r="AE71"/>
      <c r="AF71"/>
      <c r="AG71"/>
      <c r="AH71"/>
      <c r="AI71"/>
    </row>
    <row r="72" spans="3:35" ht="12.75">
      <c r="C72" s="5">
        <f t="shared" si="33"/>
        <v>1988</v>
      </c>
      <c r="D72" s="130">
        <f t="shared" si="34"/>
        <v>1351</v>
      </c>
      <c r="E72" s="130">
        <f t="shared" si="34"/>
        <v>6947</v>
      </c>
      <c r="F72" s="132"/>
      <c r="G72" s="133"/>
      <c r="H72" s="133"/>
      <c r="I72" s="133"/>
      <c r="J72" s="133"/>
      <c r="K72" s="131"/>
      <c r="O72" s="31"/>
      <c r="P72" s="33"/>
      <c r="Q72" s="33"/>
      <c r="R72" s="33"/>
      <c r="S72" s="33"/>
      <c r="T72" s="33"/>
      <c r="U72" s="33"/>
      <c r="V72" s="33"/>
      <c r="W72" s="33"/>
      <c r="Z72"/>
      <c r="AA72"/>
      <c r="AB72"/>
      <c r="AC72"/>
      <c r="AD72"/>
      <c r="AE72"/>
      <c r="AF72"/>
      <c r="AG72"/>
      <c r="AH72"/>
      <c r="AI72"/>
    </row>
    <row r="73" spans="3:35" ht="12.75">
      <c r="C73" s="5">
        <f t="shared" si="33"/>
        <v>1989</v>
      </c>
      <c r="D73" s="130">
        <f t="shared" si="34"/>
        <v>3133</v>
      </c>
      <c r="E73" s="132"/>
      <c r="F73" s="134"/>
      <c r="G73" s="133"/>
      <c r="H73" s="133"/>
      <c r="I73" s="133"/>
      <c r="J73" s="133"/>
      <c r="K73" s="131"/>
      <c r="O73" s="31"/>
      <c r="P73" s="33"/>
      <c r="Q73" s="33"/>
      <c r="R73" s="33"/>
      <c r="S73" s="33"/>
      <c r="T73" s="33"/>
      <c r="U73" s="33"/>
      <c r="V73" s="33"/>
      <c r="W73" s="33"/>
      <c r="Z73"/>
      <c r="AA73"/>
      <c r="AB73"/>
      <c r="AC73"/>
      <c r="AD73"/>
      <c r="AE73"/>
      <c r="AF73"/>
      <c r="AG73"/>
      <c r="AH73"/>
      <c r="AI73"/>
    </row>
    <row r="74" spans="4:35" ht="12.75">
      <c r="D74"/>
      <c r="O74" s="31"/>
      <c r="P74" s="33"/>
      <c r="Q74" s="33"/>
      <c r="R74" s="33"/>
      <c r="S74" s="33"/>
      <c r="T74" s="33"/>
      <c r="U74" s="33"/>
      <c r="V74" s="33"/>
      <c r="W74" s="33"/>
      <c r="Z74"/>
      <c r="AA74"/>
      <c r="AB74"/>
      <c r="AC74"/>
      <c r="AD74"/>
      <c r="AE74"/>
      <c r="AF74"/>
      <c r="AG74"/>
      <c r="AH74"/>
      <c r="AI74"/>
    </row>
    <row r="75" spans="1:35" ht="12.75">
      <c r="A75" s="1" t="s">
        <v>134</v>
      </c>
      <c r="D75"/>
      <c r="O75" s="31"/>
      <c r="P75" s="33"/>
      <c r="Q75" s="33"/>
      <c r="R75" s="33"/>
      <c r="S75" s="33"/>
      <c r="T75" s="33"/>
      <c r="U75" s="33"/>
      <c r="V75" s="33"/>
      <c r="W75" s="33"/>
      <c r="Z75"/>
      <c r="AA75"/>
      <c r="AB75"/>
      <c r="AC75"/>
      <c r="AD75"/>
      <c r="AE75"/>
      <c r="AF75"/>
      <c r="AG75"/>
      <c r="AH75"/>
      <c r="AI75"/>
    </row>
    <row r="76" spans="1:35" ht="12.75">
      <c r="A76" s="1" t="s">
        <v>160</v>
      </c>
      <c r="C76" t="s">
        <v>102</v>
      </c>
      <c r="D76" s="88">
        <f>SUM(D65:D73)</f>
        <v>21829</v>
      </c>
      <c r="E76" s="88">
        <f aca="true" t="shared" si="36" ref="E76:K76">SUM(E65:E73)</f>
        <v>60078</v>
      </c>
      <c r="F76" s="88">
        <f t="shared" si="36"/>
        <v>84426</v>
      </c>
      <c r="G76" s="88">
        <f t="shared" si="36"/>
        <v>94982</v>
      </c>
      <c r="H76" s="88">
        <f t="shared" si="36"/>
        <v>95436</v>
      </c>
      <c r="I76" s="88">
        <f t="shared" si="36"/>
        <v>80077</v>
      </c>
      <c r="J76" s="88">
        <f t="shared" si="36"/>
        <v>56368</v>
      </c>
      <c r="K76" s="88">
        <f t="shared" si="36"/>
        <v>34777</v>
      </c>
      <c r="L76"/>
      <c r="O76" s="31"/>
      <c r="P76" s="33"/>
      <c r="Q76" s="33"/>
      <c r="R76" s="33"/>
      <c r="S76" s="33"/>
      <c r="T76" s="33"/>
      <c r="U76" s="33"/>
      <c r="V76" s="33"/>
      <c r="W76" s="33"/>
      <c r="Z76"/>
      <c r="AA76"/>
      <c r="AB76"/>
      <c r="AC76"/>
      <c r="AD76"/>
      <c r="AE76"/>
      <c r="AF76"/>
      <c r="AG76"/>
      <c r="AH76"/>
      <c r="AI76"/>
    </row>
    <row r="77" spans="1:35" ht="12.75">
      <c r="A77" s="1" t="s">
        <v>160</v>
      </c>
      <c r="C77" s="1" t="s">
        <v>107</v>
      </c>
      <c r="D77" s="50">
        <f>D43</f>
        <v>2.9993586513353794</v>
      </c>
      <c r="E77" s="50">
        <f aca="true" t="shared" si="37" ref="E77:L77">E43</f>
        <v>1.6235227537534538</v>
      </c>
      <c r="F77" s="50">
        <f t="shared" si="37"/>
        <v>1.2708881150356526</v>
      </c>
      <c r="G77" s="50">
        <f t="shared" si="37"/>
        <v>1.1716746330883747</v>
      </c>
      <c r="H77" s="50">
        <f t="shared" si="37"/>
        <v>1.113384886206463</v>
      </c>
      <c r="I77" s="50">
        <f t="shared" si="37"/>
        <v>1.0419346379110106</v>
      </c>
      <c r="J77" s="50">
        <f t="shared" si="37"/>
        <v>1.033263553789384</v>
      </c>
      <c r="K77" s="50">
        <f t="shared" si="37"/>
        <v>1.0169364810075625</v>
      </c>
      <c r="L77" s="50">
        <f t="shared" si="37"/>
        <v>1.0092165898617511</v>
      </c>
      <c r="O77" s="31"/>
      <c r="P77" s="33"/>
      <c r="Q77" s="33"/>
      <c r="R77" s="33"/>
      <c r="S77" s="33"/>
      <c r="T77" s="33"/>
      <c r="U77" s="33"/>
      <c r="V77" s="33"/>
      <c r="W77" s="33"/>
      <c r="Z77"/>
      <c r="AA77"/>
      <c r="AB77"/>
      <c r="AC77"/>
      <c r="AD77"/>
      <c r="AE77"/>
      <c r="AF77"/>
      <c r="AG77"/>
      <c r="AH77"/>
      <c r="AI77"/>
    </row>
    <row r="78" spans="3:35" ht="12.75">
      <c r="C78"/>
      <c r="D78"/>
      <c r="E78"/>
      <c r="F78"/>
      <c r="G78"/>
      <c r="H78"/>
      <c r="I78"/>
      <c r="J78"/>
      <c r="K78"/>
      <c r="L78"/>
      <c r="O78" s="31"/>
      <c r="P78" s="33"/>
      <c r="Q78" s="33"/>
      <c r="R78" s="33"/>
      <c r="S78" s="33"/>
      <c r="T78" s="33"/>
      <c r="U78" s="33"/>
      <c r="V78" s="33"/>
      <c r="W78" s="33"/>
      <c r="Z78"/>
      <c r="AA78"/>
      <c r="AB78"/>
      <c r="AC78"/>
      <c r="AD78"/>
      <c r="AE78"/>
      <c r="AF78"/>
      <c r="AG78"/>
      <c r="AH78"/>
      <c r="AI78"/>
    </row>
    <row r="79" spans="3:35" ht="12.75">
      <c r="C79"/>
      <c r="D79" s="90"/>
      <c r="E79" s="90"/>
      <c r="F79" s="90"/>
      <c r="G79" s="90"/>
      <c r="H79" s="90"/>
      <c r="I79" s="90"/>
      <c r="J79" s="90"/>
      <c r="K79"/>
      <c r="L79"/>
      <c r="O79" s="31"/>
      <c r="P79" s="33"/>
      <c r="Q79" s="33"/>
      <c r="R79" s="33"/>
      <c r="S79" s="33"/>
      <c r="T79" s="33"/>
      <c r="U79" s="33"/>
      <c r="V79" s="33"/>
      <c r="W79" s="33"/>
      <c r="Z79"/>
      <c r="AA79"/>
      <c r="AB79"/>
      <c r="AC79"/>
      <c r="AD79"/>
      <c r="AE79"/>
      <c r="AF79"/>
      <c r="AG79"/>
      <c r="AH79"/>
      <c r="AI79"/>
    </row>
    <row r="80" spans="3:35" ht="12.75">
      <c r="C80" s="16" t="s">
        <v>100</v>
      </c>
      <c r="D80" s="2"/>
      <c r="E80" s="2"/>
      <c r="F80" s="2"/>
      <c r="G80" s="2"/>
      <c r="H80" s="2"/>
      <c r="K80"/>
      <c r="L80"/>
      <c r="O80" s="31"/>
      <c r="P80" s="33"/>
      <c r="Q80" s="33"/>
      <c r="R80" s="33"/>
      <c r="S80" s="33"/>
      <c r="T80" s="33"/>
      <c r="U80" s="33"/>
      <c r="V80" s="33"/>
      <c r="W80" s="33"/>
      <c r="Z80"/>
      <c r="AA80"/>
      <c r="AB80"/>
      <c r="AC80"/>
      <c r="AD80"/>
      <c r="AE80"/>
      <c r="AF80"/>
      <c r="AG80"/>
      <c r="AH80"/>
      <c r="AI80"/>
    </row>
    <row r="81" spans="3:35" ht="12.75">
      <c r="C81" s="3" t="s">
        <v>1</v>
      </c>
      <c r="D81" s="7">
        <v>1</v>
      </c>
      <c r="E81" s="7">
        <f aca="true" t="shared" si="38" ref="E81:L81">D81+1</f>
        <v>2</v>
      </c>
      <c r="F81" s="7">
        <f t="shared" si="38"/>
        <v>3</v>
      </c>
      <c r="G81" s="7">
        <f t="shared" si="38"/>
        <v>4</v>
      </c>
      <c r="H81" s="7">
        <f t="shared" si="38"/>
        <v>5</v>
      </c>
      <c r="I81" s="7">
        <f t="shared" si="38"/>
        <v>6</v>
      </c>
      <c r="J81" s="7">
        <f t="shared" si="38"/>
        <v>7</v>
      </c>
      <c r="K81" s="7">
        <f t="shared" si="38"/>
        <v>8</v>
      </c>
      <c r="L81" s="7">
        <f t="shared" si="38"/>
        <v>9</v>
      </c>
      <c r="O81" s="31"/>
      <c r="P81" s="33"/>
      <c r="Q81" s="33"/>
      <c r="R81" s="33"/>
      <c r="S81" s="33"/>
      <c r="T81" s="33"/>
      <c r="U81" s="33"/>
      <c r="V81" s="33"/>
      <c r="W81" s="33"/>
      <c r="Z81"/>
      <c r="AA81"/>
      <c r="AB81"/>
      <c r="AC81"/>
      <c r="AD81"/>
      <c r="AE81"/>
      <c r="AF81"/>
      <c r="AG81"/>
      <c r="AH81"/>
      <c r="AI81"/>
    </row>
    <row r="82" spans="3:35" ht="12.75">
      <c r="C82" s="3">
        <v>1981</v>
      </c>
      <c r="D82" s="130">
        <f aca="true" t="shared" si="39" ref="D82:K82">D65*(D33-D$43)^2</f>
        <v>9127.852176443044</v>
      </c>
      <c r="E82" s="130">
        <f t="shared" si="39"/>
        <v>766.7032300795581</v>
      </c>
      <c r="F82" s="130">
        <f t="shared" si="39"/>
        <v>387.77918790155445</v>
      </c>
      <c r="G82" s="130">
        <f t="shared" si="39"/>
        <v>7.253359142923783</v>
      </c>
      <c r="H82" s="130">
        <f t="shared" si="39"/>
        <v>90.49322835575694</v>
      </c>
      <c r="I82" s="130">
        <f t="shared" si="39"/>
        <v>81.65430019515057</v>
      </c>
      <c r="J82" s="130">
        <f t="shared" si="39"/>
        <v>1.0430186743138156E-07</v>
      </c>
      <c r="K82" s="130">
        <f t="shared" si="39"/>
        <v>3.6651672329751204</v>
      </c>
      <c r="L82" s="89">
        <f>L65*(L33-$D$43)^2</f>
        <v>0</v>
      </c>
      <c r="O82" s="31"/>
      <c r="P82" s="33"/>
      <c r="Q82" s="33"/>
      <c r="R82" s="33"/>
      <c r="S82" s="33"/>
      <c r="T82" s="33"/>
      <c r="U82" s="33"/>
      <c r="V82" s="33"/>
      <c r="W82" s="33"/>
      <c r="Z82"/>
      <c r="AA82"/>
      <c r="AB82"/>
      <c r="AC82"/>
      <c r="AD82"/>
      <c r="AE82"/>
      <c r="AF82"/>
      <c r="AG82"/>
      <c r="AH82"/>
      <c r="AI82"/>
    </row>
    <row r="83" spans="3:35" ht="12.75">
      <c r="C83" s="5">
        <f aca="true" t="shared" si="40" ref="C83:C90">C82+1</f>
        <v>1982</v>
      </c>
      <c r="D83" s="130">
        <f aca="true" t="shared" si="41" ref="D83:E90">D66*(D34-D$43)^2</f>
        <v>148468.19227749083</v>
      </c>
      <c r="E83" s="130">
        <f t="shared" si="41"/>
        <v>568.513659627867</v>
      </c>
      <c r="F83" s="130">
        <f aca="true" t="shared" si="42" ref="F83:K83">F66*(F34-F$43)^2</f>
        <v>2687.741928117766</v>
      </c>
      <c r="G83" s="130">
        <f t="shared" si="42"/>
        <v>154.79234959746537</v>
      </c>
      <c r="H83" s="130">
        <f t="shared" si="42"/>
        <v>4.693331425541649</v>
      </c>
      <c r="I83" s="130">
        <f t="shared" si="42"/>
        <v>36.74970075997297</v>
      </c>
      <c r="J83" s="130">
        <f t="shared" si="42"/>
        <v>1.6017916237915588</v>
      </c>
      <c r="K83" s="130">
        <f t="shared" si="42"/>
        <v>4.21803648161289</v>
      </c>
      <c r="O83" s="31"/>
      <c r="P83" s="33"/>
      <c r="Q83" s="33"/>
      <c r="R83" s="33"/>
      <c r="S83" s="33"/>
      <c r="T83" s="33"/>
      <c r="U83" s="33"/>
      <c r="V83" s="33"/>
      <c r="W83" s="33"/>
      <c r="Z83"/>
      <c r="AA83"/>
      <c r="AB83"/>
      <c r="AC83"/>
      <c r="AD83"/>
      <c r="AE83"/>
      <c r="AF83"/>
      <c r="AG83"/>
      <c r="AH83"/>
      <c r="AI83"/>
    </row>
    <row r="84" spans="3:35" ht="12.75">
      <c r="C84" s="5">
        <f t="shared" si="40"/>
        <v>1983</v>
      </c>
      <c r="D84" s="130">
        <f t="shared" si="41"/>
        <v>447.86914181032694</v>
      </c>
      <c r="E84" s="130">
        <f t="shared" si="41"/>
        <v>58.570349872898305</v>
      </c>
      <c r="F84" s="130">
        <f>F67*(F35-F$43)^2</f>
        <v>160.03689499177494</v>
      </c>
      <c r="G84" s="130">
        <f>G67*(G35-G$43)^2</f>
        <v>1.9409633510062136</v>
      </c>
      <c r="H84" s="130">
        <f>H67*(H35-H$43)^2</f>
        <v>97.96128294267064</v>
      </c>
      <c r="I84" s="130">
        <f>I67*(I35-I$43)^2</f>
        <v>3.5935273972735735</v>
      </c>
      <c r="J84" s="130">
        <f>J67*(J35-J$43)^2</f>
        <v>1.0850592031555373</v>
      </c>
      <c r="K84" s="131"/>
      <c r="O84" s="31"/>
      <c r="P84" s="33"/>
      <c r="Q84" s="33"/>
      <c r="R84" s="33"/>
      <c r="S84" s="33"/>
      <c r="T84" s="33"/>
      <c r="U84" s="33"/>
      <c r="V84" s="33"/>
      <c r="W84" s="33"/>
      <c r="Z84"/>
      <c r="AA84"/>
      <c r="AB84"/>
      <c r="AC84"/>
      <c r="AD84"/>
      <c r="AE84"/>
      <c r="AF84"/>
      <c r="AG84"/>
      <c r="AH84"/>
      <c r="AI84"/>
    </row>
    <row r="85" spans="3:35" ht="12.75">
      <c r="C85" s="5">
        <f t="shared" si="40"/>
        <v>1984</v>
      </c>
      <c r="D85" s="130">
        <f t="shared" si="41"/>
        <v>5168.677433951353</v>
      </c>
      <c r="E85" s="130">
        <f t="shared" si="41"/>
        <v>775.6703496800542</v>
      </c>
      <c r="F85" s="130">
        <f>F68*(F36-F$43)^2</f>
        <v>95.83144123147518</v>
      </c>
      <c r="G85" s="130">
        <f>G68*(G36-G$43)^2</f>
        <v>104.65366997975588</v>
      </c>
      <c r="H85" s="130">
        <f>H68*(H36-H$43)^2</f>
        <v>0.00016383522415154973</v>
      </c>
      <c r="I85" s="130">
        <f>I68*(I36-I$43)^2</f>
        <v>0.462059702867925</v>
      </c>
      <c r="J85" s="132"/>
      <c r="K85" s="131"/>
      <c r="O85" s="31"/>
      <c r="P85" s="33"/>
      <c r="Q85" s="33"/>
      <c r="R85" s="33"/>
      <c r="S85" s="33"/>
      <c r="T85" s="33"/>
      <c r="U85" s="33"/>
      <c r="V85" s="33"/>
      <c r="W85" s="33"/>
      <c r="Z85"/>
      <c r="AA85"/>
      <c r="AB85"/>
      <c r="AC85"/>
      <c r="AD85"/>
      <c r="AE85"/>
      <c r="AF85"/>
      <c r="AG85"/>
      <c r="AH85"/>
      <c r="AI85"/>
    </row>
    <row r="86" spans="3:35" ht="12.75">
      <c r="C86" s="5">
        <f t="shared" si="40"/>
        <v>1985</v>
      </c>
      <c r="D86" s="130">
        <f t="shared" si="41"/>
        <v>36227.40890776547</v>
      </c>
      <c r="E86" s="130">
        <f t="shared" si="41"/>
        <v>9.853840489014834</v>
      </c>
      <c r="F86" s="130">
        <f>F69*(F37-F$43)^2</f>
        <v>263.6228117858743</v>
      </c>
      <c r="G86" s="130">
        <f>G69*(G37-G$43)^2</f>
        <v>0.01778242949971224</v>
      </c>
      <c r="H86" s="130">
        <f>H69*(H37-H$43)^2</f>
        <v>284.60820940438595</v>
      </c>
      <c r="I86" s="132"/>
      <c r="J86" s="133"/>
      <c r="K86" s="131"/>
      <c r="O86" s="31"/>
      <c r="P86" s="33"/>
      <c r="Q86" s="33"/>
      <c r="R86" s="33"/>
      <c r="S86" s="33"/>
      <c r="T86" s="33"/>
      <c r="U86" s="33"/>
      <c r="V86" s="33"/>
      <c r="W86" s="33"/>
      <c r="Z86"/>
      <c r="AA86"/>
      <c r="AB86"/>
      <c r="AC86"/>
      <c r="AD86"/>
      <c r="AE86"/>
      <c r="AF86"/>
      <c r="AG86"/>
      <c r="AH86"/>
      <c r="AI86"/>
    </row>
    <row r="87" spans="3:35" ht="12.75">
      <c r="C87" s="5">
        <f t="shared" si="40"/>
        <v>1986</v>
      </c>
      <c r="D87" s="130">
        <f t="shared" si="41"/>
        <v>2403.526738888488</v>
      </c>
      <c r="E87" s="130">
        <f t="shared" si="41"/>
        <v>237.95566895219744</v>
      </c>
      <c r="F87" s="130">
        <f>F70*(F38-F$43)^2</f>
        <v>320.60403094552936</v>
      </c>
      <c r="G87" s="130">
        <f>G70*(G38-G$43)^2</f>
        <v>37.491852451557044</v>
      </c>
      <c r="H87" s="132"/>
      <c r="I87" s="133"/>
      <c r="J87" s="133"/>
      <c r="K87" s="131"/>
      <c r="O87" s="31"/>
      <c r="P87" s="33"/>
      <c r="Q87" s="33"/>
      <c r="R87" s="33"/>
      <c r="S87" s="33"/>
      <c r="T87" s="33"/>
      <c r="U87" s="33"/>
      <c r="V87" s="33"/>
      <c r="W87" s="33"/>
      <c r="Z87"/>
      <c r="AA87"/>
      <c r="AB87"/>
      <c r="AC87"/>
      <c r="AD87"/>
      <c r="AE87"/>
      <c r="AF87"/>
      <c r="AG87"/>
      <c r="AH87"/>
      <c r="AI87"/>
    </row>
    <row r="88" spans="3:35" ht="12.75">
      <c r="C88" s="5">
        <f t="shared" si="40"/>
        <v>1987</v>
      </c>
      <c r="D88" s="130">
        <f t="shared" si="41"/>
        <v>9909.298742945839</v>
      </c>
      <c r="E88" s="130">
        <f t="shared" si="41"/>
        <v>4858.566397926098</v>
      </c>
      <c r="F88" s="130">
        <f>F71*(F39-F$43)^2</f>
        <v>233.04041248871235</v>
      </c>
      <c r="G88" s="132"/>
      <c r="H88" s="133"/>
      <c r="I88" s="133"/>
      <c r="J88" s="133"/>
      <c r="K88" s="131"/>
      <c r="O88" s="31"/>
      <c r="P88" s="33"/>
      <c r="Q88" s="33"/>
      <c r="R88" s="33"/>
      <c r="S88" s="33"/>
      <c r="T88" s="33"/>
      <c r="U88" s="33"/>
      <c r="V88" s="33"/>
      <c r="W88" s="33"/>
      <c r="Z88"/>
      <c r="AA88"/>
      <c r="AB88"/>
      <c r="AC88"/>
      <c r="AD88"/>
      <c r="AE88"/>
      <c r="AF88"/>
      <c r="AG88"/>
      <c r="AH88"/>
      <c r="AI88"/>
    </row>
    <row r="89" spans="3:35" ht="12.75">
      <c r="C89" s="5">
        <f t="shared" si="40"/>
        <v>1988</v>
      </c>
      <c r="D89" s="130">
        <f t="shared" si="41"/>
        <v>6202.999136253263</v>
      </c>
      <c r="E89" s="130">
        <f t="shared" si="41"/>
        <v>483.8505063033556</v>
      </c>
      <c r="F89" s="132"/>
      <c r="G89" s="133"/>
      <c r="H89" s="133"/>
      <c r="I89" s="133"/>
      <c r="J89" s="133"/>
      <c r="K89" s="131"/>
      <c r="O89" s="31"/>
      <c r="P89" s="33"/>
      <c r="Q89" s="33"/>
      <c r="R89" s="33"/>
      <c r="S89" s="33"/>
      <c r="T89" s="33"/>
      <c r="U89" s="33"/>
      <c r="V89" s="33"/>
      <c r="W89" s="33"/>
      <c r="Z89"/>
      <c r="AA89"/>
      <c r="AB89"/>
      <c r="AC89"/>
      <c r="AD89"/>
      <c r="AE89"/>
      <c r="AF89"/>
      <c r="AG89"/>
      <c r="AH89"/>
      <c r="AI89"/>
    </row>
    <row r="90" spans="3:35" ht="12.75">
      <c r="C90" s="5">
        <f t="shared" si="40"/>
        <v>1989</v>
      </c>
      <c r="D90" s="130">
        <f t="shared" si="41"/>
        <v>5112.010596800452</v>
      </c>
      <c r="E90" s="132"/>
      <c r="F90" s="134"/>
      <c r="G90" s="133"/>
      <c r="H90" s="133"/>
      <c r="I90" s="133"/>
      <c r="J90" s="133"/>
      <c r="K90" s="131"/>
      <c r="O90" s="31"/>
      <c r="P90" s="33"/>
      <c r="Q90" s="33"/>
      <c r="R90" s="33"/>
      <c r="S90" s="33"/>
      <c r="T90" s="33"/>
      <c r="U90" s="33"/>
      <c r="V90" s="33"/>
      <c r="W90" s="33"/>
      <c r="Z90"/>
      <c r="AA90"/>
      <c r="AB90"/>
      <c r="AC90"/>
      <c r="AD90"/>
      <c r="AE90"/>
      <c r="AF90"/>
      <c r="AG90"/>
      <c r="AH90"/>
      <c r="AI90"/>
    </row>
    <row r="91" spans="4:35" ht="12.75">
      <c r="D91"/>
      <c r="O91" s="31"/>
      <c r="P91" s="33"/>
      <c r="Q91" s="33"/>
      <c r="R91" s="33"/>
      <c r="S91" s="33"/>
      <c r="T91" s="33"/>
      <c r="U91" s="33"/>
      <c r="V91" s="33"/>
      <c r="W91" s="33"/>
      <c r="Z91"/>
      <c r="AA91"/>
      <c r="AB91"/>
      <c r="AC91"/>
      <c r="AD91"/>
      <c r="AE91"/>
      <c r="AF91"/>
      <c r="AG91"/>
      <c r="AH91"/>
      <c r="AI91"/>
    </row>
    <row r="92" spans="1:35" ht="12.75">
      <c r="A92" s="1" t="s">
        <v>134</v>
      </c>
      <c r="D92"/>
      <c r="O92" s="31"/>
      <c r="P92" s="33"/>
      <c r="Q92" s="33"/>
      <c r="R92" s="33"/>
      <c r="S92" s="33"/>
      <c r="T92" s="33"/>
      <c r="U92" s="33"/>
      <c r="V92" s="33"/>
      <c r="W92" s="33"/>
      <c r="Z92"/>
      <c r="AA92"/>
      <c r="AB92"/>
      <c r="AC92"/>
      <c r="AD92"/>
      <c r="AE92"/>
      <c r="AF92"/>
      <c r="AG92"/>
      <c r="AH92"/>
      <c r="AI92"/>
    </row>
    <row r="93" spans="1:35" ht="12.75">
      <c r="A93" s="1" t="s">
        <v>160</v>
      </c>
      <c r="C93" t="s">
        <v>102</v>
      </c>
      <c r="D93" s="88">
        <f>D17</f>
        <v>21829</v>
      </c>
      <c r="E93" s="88">
        <f aca="true" t="shared" si="43" ref="E93:K93">E17</f>
        <v>60078</v>
      </c>
      <c r="F93" s="88">
        <f t="shared" si="43"/>
        <v>84426</v>
      </c>
      <c r="G93" s="88">
        <f t="shared" si="43"/>
        <v>94982</v>
      </c>
      <c r="H93" s="88">
        <f t="shared" si="43"/>
        <v>95436</v>
      </c>
      <c r="I93" s="88">
        <f t="shared" si="43"/>
        <v>80077</v>
      </c>
      <c r="J93" s="88">
        <f t="shared" si="43"/>
        <v>56368</v>
      </c>
      <c r="K93" s="88">
        <f t="shared" si="43"/>
        <v>34777</v>
      </c>
      <c r="L93"/>
      <c r="O93" s="31"/>
      <c r="P93" s="33"/>
      <c r="Q93" s="33"/>
      <c r="R93" s="33"/>
      <c r="S93" s="33"/>
      <c r="T93" s="33"/>
      <c r="U93" s="33"/>
      <c r="V93" s="33"/>
      <c r="W93" s="33"/>
      <c r="Z93"/>
      <c r="AA93"/>
      <c r="AB93"/>
      <c r="AC93"/>
      <c r="AD93"/>
      <c r="AE93"/>
      <c r="AF93"/>
      <c r="AG93"/>
      <c r="AH93"/>
      <c r="AI93"/>
    </row>
    <row r="94" spans="1:35" ht="12.75">
      <c r="A94" s="1" t="s">
        <v>160</v>
      </c>
      <c r="C94" t="s">
        <v>108</v>
      </c>
      <c r="D94" s="88">
        <f>SUM(D82:D90)</f>
        <v>223067.83515234906</v>
      </c>
      <c r="E94" s="88">
        <f aca="true" t="shared" si="44" ref="E94:K94">SUM(E82:E90)</f>
        <v>7759.684002931044</v>
      </c>
      <c r="F94" s="88">
        <f t="shared" si="44"/>
        <v>4148.656707462686</v>
      </c>
      <c r="G94" s="88">
        <f t="shared" si="44"/>
        <v>306.1499769522081</v>
      </c>
      <c r="H94" s="88">
        <f t="shared" si="44"/>
        <v>477.75621596357934</v>
      </c>
      <c r="I94" s="88">
        <f t="shared" si="44"/>
        <v>122.45958805526503</v>
      </c>
      <c r="J94" s="88">
        <f t="shared" si="44"/>
        <v>2.6868509312489635</v>
      </c>
      <c r="K94" s="88">
        <f t="shared" si="44"/>
        <v>7.88320371458801</v>
      </c>
      <c r="L94"/>
      <c r="O94" s="31"/>
      <c r="P94" s="33"/>
      <c r="Q94" s="33"/>
      <c r="R94" s="33"/>
      <c r="S94" s="33"/>
      <c r="T94" s="33"/>
      <c r="U94" s="33"/>
      <c r="V94" s="33"/>
      <c r="W94" s="33"/>
      <c r="Z94"/>
      <c r="AA94"/>
      <c r="AB94"/>
      <c r="AC94"/>
      <c r="AD94"/>
      <c r="AE94"/>
      <c r="AF94"/>
      <c r="AG94"/>
      <c r="AH94"/>
      <c r="AI94"/>
    </row>
    <row r="95" spans="1:35" ht="12.75">
      <c r="A95" s="1" t="s">
        <v>160</v>
      </c>
      <c r="C95" s="1" t="s">
        <v>103</v>
      </c>
      <c r="D95" s="91">
        <f>SUM(D82:D90)/D93</f>
        <v>10.218875585338267</v>
      </c>
      <c r="E95" s="91">
        <f aca="true" t="shared" si="45" ref="E95:K95">SUM(E82:E90)/E93</f>
        <v>0.12916015850945511</v>
      </c>
      <c r="F95" s="91">
        <f t="shared" si="45"/>
        <v>0.04913956254545621</v>
      </c>
      <c r="G95" s="91">
        <f t="shared" si="45"/>
        <v>0.0032232420558864637</v>
      </c>
      <c r="H95" s="91">
        <f t="shared" si="45"/>
        <v>0.005006037721232861</v>
      </c>
      <c r="I95" s="91">
        <f t="shared" si="45"/>
        <v>0.0015292729255000192</v>
      </c>
      <c r="J95" s="91">
        <f t="shared" si="45"/>
        <v>4.766624558701681E-05</v>
      </c>
      <c r="K95" s="91">
        <f t="shared" si="45"/>
        <v>0.0002266786587281252</v>
      </c>
      <c r="L95"/>
      <c r="O95" s="31"/>
      <c r="P95" s="33"/>
      <c r="Q95" s="33"/>
      <c r="R95" s="33"/>
      <c r="S95" s="33"/>
      <c r="T95" s="33"/>
      <c r="U95" s="33"/>
      <c r="V95" s="33"/>
      <c r="W95" s="33"/>
      <c r="Z95"/>
      <c r="AA95"/>
      <c r="AB95"/>
      <c r="AC95"/>
      <c r="AD95"/>
      <c r="AE95"/>
      <c r="AF95"/>
      <c r="AG95"/>
      <c r="AH95"/>
      <c r="AI95"/>
    </row>
    <row r="96" spans="1:35" ht="12.75">
      <c r="A96" s="1" t="s">
        <v>134</v>
      </c>
      <c r="C96" t="s">
        <v>104</v>
      </c>
      <c r="D96" s="90">
        <f>SQRT(D95)</f>
        <v>3.196697606177079</v>
      </c>
      <c r="E96" s="90">
        <f aca="true" t="shared" si="46" ref="E96:K96">SQRT(E95)</f>
        <v>0.35938858984316</v>
      </c>
      <c r="F96" s="90">
        <f t="shared" si="46"/>
        <v>0.22167445172021114</v>
      </c>
      <c r="G96" s="90">
        <f t="shared" si="46"/>
        <v>0.056773603513309456</v>
      </c>
      <c r="H96" s="90">
        <f t="shared" si="46"/>
        <v>0.07075335837423452</v>
      </c>
      <c r="I96" s="90">
        <f t="shared" si="46"/>
        <v>0.039105919315367325</v>
      </c>
      <c r="J96" s="90">
        <f t="shared" si="46"/>
        <v>0.006904074564126376</v>
      </c>
      <c r="K96" s="90">
        <f t="shared" si="46"/>
        <v>0.015055851311969218</v>
      </c>
      <c r="L96"/>
      <c r="O96" s="31"/>
      <c r="P96" s="33"/>
      <c r="Q96" s="33"/>
      <c r="R96" s="33"/>
      <c r="S96" s="33"/>
      <c r="T96" s="33"/>
      <c r="U96" s="33"/>
      <c r="V96" s="33"/>
      <c r="W96" s="33"/>
      <c r="Z96"/>
      <c r="AA96"/>
      <c r="AB96"/>
      <c r="AC96"/>
      <c r="AD96"/>
      <c r="AE96"/>
      <c r="AF96"/>
      <c r="AG96"/>
      <c r="AH96"/>
      <c r="AI96"/>
    </row>
    <row r="97" spans="1:35" ht="12.75">
      <c r="A97" s="1" t="s">
        <v>162</v>
      </c>
      <c r="C97" s="1" t="s">
        <v>158</v>
      </c>
      <c r="D97" s="87">
        <f aca="true" t="shared" si="47" ref="D97:K97">D59</f>
        <v>8</v>
      </c>
      <c r="E97" s="87">
        <f t="shared" si="47"/>
        <v>7</v>
      </c>
      <c r="F97" s="87">
        <f t="shared" si="47"/>
        <v>6</v>
      </c>
      <c r="G97" s="87">
        <f t="shared" si="47"/>
        <v>5</v>
      </c>
      <c r="H97" s="87">
        <f t="shared" si="47"/>
        <v>4</v>
      </c>
      <c r="I97" s="87">
        <f t="shared" si="47"/>
        <v>3</v>
      </c>
      <c r="J97" s="87">
        <f t="shared" si="47"/>
        <v>2</v>
      </c>
      <c r="K97" s="87">
        <f t="shared" si="47"/>
        <v>1</v>
      </c>
      <c r="L97"/>
      <c r="O97" s="31"/>
      <c r="P97" s="33"/>
      <c r="Q97" s="33"/>
      <c r="R97" s="33"/>
      <c r="S97" s="33"/>
      <c r="T97" s="33"/>
      <c r="U97" s="33"/>
      <c r="V97" s="33"/>
      <c r="W97" s="33"/>
      <c r="Z97"/>
      <c r="AA97"/>
      <c r="AB97"/>
      <c r="AC97"/>
      <c r="AD97"/>
      <c r="AE97"/>
      <c r="AF97"/>
      <c r="AG97"/>
      <c r="AH97"/>
      <c r="AI97"/>
    </row>
    <row r="98" spans="1:35" ht="15.75">
      <c r="A98" s="1" t="s">
        <v>162</v>
      </c>
      <c r="C98" s="92" t="s">
        <v>109</v>
      </c>
      <c r="D98" s="22">
        <f>D94/D97</f>
        <v>27883.479394043632</v>
      </c>
      <c r="E98" s="22">
        <f>E94/E97</f>
        <v>1108.5262861330064</v>
      </c>
      <c r="F98" s="22">
        <f aca="true" t="shared" si="48" ref="F98:K98">F94/F97</f>
        <v>691.4427845771144</v>
      </c>
      <c r="G98" s="22">
        <f t="shared" si="48"/>
        <v>61.229995390441616</v>
      </c>
      <c r="H98" s="22">
        <f t="shared" si="48"/>
        <v>119.43905399089483</v>
      </c>
      <c r="I98" s="22">
        <f t="shared" si="48"/>
        <v>40.819862685088346</v>
      </c>
      <c r="J98" s="22">
        <f t="shared" si="48"/>
        <v>1.3434254656244817</v>
      </c>
      <c r="K98" s="22">
        <f t="shared" si="48"/>
        <v>7.88320371458801</v>
      </c>
      <c r="O98" s="31"/>
      <c r="P98" s="33"/>
      <c r="Q98" s="33"/>
      <c r="R98" s="33"/>
      <c r="S98" s="33"/>
      <c r="T98" s="33"/>
      <c r="U98" s="33"/>
      <c r="V98" s="33"/>
      <c r="W98" s="33"/>
      <c r="Z98"/>
      <c r="AA98"/>
      <c r="AB98"/>
      <c r="AC98"/>
      <c r="AD98"/>
      <c r="AE98"/>
      <c r="AF98"/>
      <c r="AG98"/>
      <c r="AH98"/>
      <c r="AI98"/>
    </row>
    <row r="99" spans="26:35" ht="12.75">
      <c r="Z99"/>
      <c r="AA99"/>
      <c r="AB99"/>
      <c r="AC99"/>
      <c r="AD99"/>
      <c r="AE99"/>
      <c r="AF99"/>
      <c r="AG99"/>
      <c r="AH99"/>
      <c r="AI99"/>
    </row>
    <row r="100" spans="3:35" ht="12.75">
      <c r="C100" s="16" t="s">
        <v>115</v>
      </c>
      <c r="D100" s="2"/>
      <c r="E100" s="2"/>
      <c r="F100" s="2"/>
      <c r="G100" s="2"/>
      <c r="H100" s="2"/>
      <c r="Z100"/>
      <c r="AA100"/>
      <c r="AB100"/>
      <c r="AC100"/>
      <c r="AD100"/>
      <c r="AE100"/>
      <c r="AF100"/>
      <c r="AG100"/>
      <c r="AH100"/>
      <c r="AI100"/>
    </row>
    <row r="101" spans="3:35" ht="12.75">
      <c r="C101" s="3" t="s">
        <v>1</v>
      </c>
      <c r="D101" s="7">
        <v>1</v>
      </c>
      <c r="E101" s="7">
        <f aca="true" t="shared" si="49" ref="E101:M101">D101+1</f>
        <v>2</v>
      </c>
      <c r="F101" s="7">
        <f t="shared" si="49"/>
        <v>3</v>
      </c>
      <c r="G101" s="7">
        <f t="shared" si="49"/>
        <v>4</v>
      </c>
      <c r="H101" s="7">
        <f t="shared" si="49"/>
        <v>5</v>
      </c>
      <c r="I101" s="7">
        <f t="shared" si="49"/>
        <v>6</v>
      </c>
      <c r="J101" s="7">
        <f t="shared" si="49"/>
        <v>7</v>
      </c>
      <c r="K101" s="7">
        <f t="shared" si="49"/>
        <v>8</v>
      </c>
      <c r="L101" s="7">
        <f t="shared" si="49"/>
        <v>9</v>
      </c>
      <c r="M101" s="7">
        <f t="shared" si="49"/>
        <v>10</v>
      </c>
      <c r="N101" s="7" t="s">
        <v>32</v>
      </c>
      <c r="Z101"/>
      <c r="AA101"/>
      <c r="AB101"/>
      <c r="AC101"/>
      <c r="AD101"/>
      <c r="AE101"/>
      <c r="AF101"/>
      <c r="AG101"/>
      <c r="AH101"/>
      <c r="AI101"/>
    </row>
    <row r="102" spans="3:35" ht="12.75">
      <c r="C102" s="3">
        <v>1981</v>
      </c>
      <c r="D102"/>
      <c r="E102"/>
      <c r="F102"/>
      <c r="G102"/>
      <c r="H102"/>
      <c r="I102"/>
      <c r="J102"/>
      <c r="K102"/>
      <c r="L102"/>
      <c r="M102" s="105">
        <v>18834</v>
      </c>
      <c r="N102" s="6">
        <f aca="true" t="shared" si="50" ref="N102:N110">P7</f>
        <v>18834</v>
      </c>
      <c r="Z102"/>
      <c r="AA102"/>
      <c r="AB102"/>
      <c r="AC102"/>
      <c r="AD102"/>
      <c r="AE102"/>
      <c r="AF102"/>
      <c r="AG102"/>
      <c r="AH102"/>
      <c r="AI102"/>
    </row>
    <row r="103" spans="3:35" ht="12.75">
      <c r="C103" s="5">
        <f aca="true" t="shared" si="51" ref="C103:C111">C102+1</f>
        <v>1982</v>
      </c>
      <c r="D103"/>
      <c r="E103"/>
      <c r="F103"/>
      <c r="G103"/>
      <c r="H103"/>
      <c r="I103"/>
      <c r="J103"/>
      <c r="K103"/>
      <c r="L103" s="51">
        <v>16704</v>
      </c>
      <c r="M103" s="9">
        <f aca="true" t="shared" si="52" ref="F103:M111">L103*L$77</f>
        <v>16857.95391705069</v>
      </c>
      <c r="N103" s="6">
        <f t="shared" si="50"/>
        <v>16857.95391705069</v>
      </c>
      <c r="Z103"/>
      <c r="AA103"/>
      <c r="AB103"/>
      <c r="AC103"/>
      <c r="AD103"/>
      <c r="AE103"/>
      <c r="AF103"/>
      <c r="AG103"/>
      <c r="AH103"/>
      <c r="AI103"/>
    </row>
    <row r="104" spans="3:35" ht="12.75">
      <c r="C104" s="5">
        <f t="shared" si="51"/>
        <v>1983</v>
      </c>
      <c r="D104"/>
      <c r="E104"/>
      <c r="F104"/>
      <c r="G104"/>
      <c r="H104"/>
      <c r="I104"/>
      <c r="J104"/>
      <c r="K104" s="51">
        <v>23466</v>
      </c>
      <c r="L104" s="9">
        <f t="shared" si="52"/>
        <v>23863.43146332346</v>
      </c>
      <c r="M104" s="9">
        <f t="shared" si="52"/>
        <v>24083.37092381492</v>
      </c>
      <c r="N104" s="6">
        <f t="shared" si="50"/>
        <v>24083.37092381492</v>
      </c>
      <c r="Z104"/>
      <c r="AA104"/>
      <c r="AB104"/>
      <c r="AC104"/>
      <c r="AD104"/>
      <c r="AE104"/>
      <c r="AF104"/>
      <c r="AG104"/>
      <c r="AH104"/>
      <c r="AI104"/>
    </row>
    <row r="105" spans="3:35" ht="12.75">
      <c r="C105" s="5">
        <f t="shared" si="51"/>
        <v>1984</v>
      </c>
      <c r="D105"/>
      <c r="E105"/>
      <c r="F105"/>
      <c r="G105"/>
      <c r="H105"/>
      <c r="I105"/>
      <c r="J105" s="104">
        <v>27067</v>
      </c>
      <c r="K105" s="9">
        <f t="shared" si="52"/>
        <v>27967.344610417254</v>
      </c>
      <c r="L105" s="9">
        <f t="shared" si="52"/>
        <v>28441.013011243544</v>
      </c>
      <c r="M105" s="9">
        <f t="shared" si="52"/>
        <v>28703.142163420904</v>
      </c>
      <c r="N105" s="6">
        <f t="shared" si="50"/>
        <v>28703.1421634209</v>
      </c>
      <c r="Z105"/>
      <c r="AA105"/>
      <c r="AB105"/>
      <c r="AC105"/>
      <c r="AD105"/>
      <c r="AE105"/>
      <c r="AF105"/>
      <c r="AG105"/>
      <c r="AH105"/>
      <c r="AI105"/>
    </row>
    <row r="106" spans="3:35" ht="12.75">
      <c r="C106" s="5">
        <f t="shared" si="51"/>
        <v>1985</v>
      </c>
      <c r="D106"/>
      <c r="E106"/>
      <c r="F106"/>
      <c r="G106"/>
      <c r="H106"/>
      <c r="I106" s="104">
        <v>26180</v>
      </c>
      <c r="J106" s="9">
        <f t="shared" si="52"/>
        <v>27277.84882051026</v>
      </c>
      <c r="K106" s="9">
        <f t="shared" si="52"/>
        <v>28185.207012009985</v>
      </c>
      <c r="L106" s="9">
        <f t="shared" si="52"/>
        <v>28662.56523526311</v>
      </c>
      <c r="M106" s="9">
        <f t="shared" si="52"/>
        <v>28926.736343422217</v>
      </c>
      <c r="N106" s="6">
        <f t="shared" si="50"/>
        <v>28926.736343422213</v>
      </c>
      <c r="Z106"/>
      <c r="AA106"/>
      <c r="AB106"/>
      <c r="AC106"/>
      <c r="AD106"/>
      <c r="AE106"/>
      <c r="AF106"/>
      <c r="AG106"/>
      <c r="AH106"/>
      <c r="AI106"/>
    </row>
    <row r="107" spans="3:35" ht="12.75">
      <c r="C107" s="5">
        <f t="shared" si="51"/>
        <v>1986</v>
      </c>
      <c r="D107"/>
      <c r="E107"/>
      <c r="F107"/>
      <c r="G107"/>
      <c r="H107" s="104">
        <v>15852</v>
      </c>
      <c r="I107" s="9">
        <f t="shared" si="52"/>
        <v>17649.37721614485</v>
      </c>
      <c r="J107" s="9">
        <f t="shared" si="52"/>
        <v>18389.497459058726</v>
      </c>
      <c r="K107" s="9">
        <f t="shared" si="52"/>
        <v>19001.197496947865</v>
      </c>
      <c r="L107" s="9">
        <f t="shared" si="52"/>
        <v>19323.010917475865</v>
      </c>
      <c r="M107" s="9">
        <f t="shared" si="52"/>
        <v>19501.10318399638</v>
      </c>
      <c r="N107" s="6">
        <f t="shared" si="50"/>
        <v>19501.103183996383</v>
      </c>
      <c r="Z107"/>
      <c r="AA107"/>
      <c r="AB107"/>
      <c r="AC107"/>
      <c r="AD107"/>
      <c r="AE107"/>
      <c r="AF107"/>
      <c r="AG107"/>
      <c r="AH107"/>
      <c r="AI107"/>
    </row>
    <row r="108" spans="3:35" ht="12.75">
      <c r="C108" s="5">
        <f t="shared" si="51"/>
        <v>1987</v>
      </c>
      <c r="D108"/>
      <c r="E108"/>
      <c r="F108"/>
      <c r="G108" s="104">
        <v>12314</v>
      </c>
      <c r="H108" s="9">
        <f t="shared" si="52"/>
        <v>14428.001431850247</v>
      </c>
      <c r="I108" s="9">
        <f t="shared" si="52"/>
        <v>16063.918732387274</v>
      </c>
      <c r="J108" s="9">
        <f t="shared" si="52"/>
        <v>16737.553347861834</v>
      </c>
      <c r="K108" s="9">
        <f t="shared" si="52"/>
        <v>17294.30385395112</v>
      </c>
      <c r="L108" s="9">
        <f t="shared" si="52"/>
        <v>17587.20850271258</v>
      </c>
      <c r="M108" s="9">
        <f t="shared" si="52"/>
        <v>17749.302590295185</v>
      </c>
      <c r="N108" s="6">
        <f t="shared" si="50"/>
        <v>17749.30259029518</v>
      </c>
      <c r="Z108"/>
      <c r="AA108"/>
      <c r="AB108"/>
      <c r="AC108"/>
      <c r="AD108"/>
      <c r="AE108"/>
      <c r="AF108"/>
      <c r="AG108"/>
      <c r="AH108"/>
      <c r="AI108"/>
    </row>
    <row r="109" spans="3:35" ht="12.75">
      <c r="C109" s="5">
        <f t="shared" si="51"/>
        <v>1988</v>
      </c>
      <c r="D109"/>
      <c r="E109"/>
      <c r="F109" s="104">
        <v>13112</v>
      </c>
      <c r="G109" s="9">
        <f t="shared" si="52"/>
        <v>16663.884964347475</v>
      </c>
      <c r="H109" s="9">
        <f t="shared" si="52"/>
        <v>19524.651301428712</v>
      </c>
      <c r="I109" s="9">
        <f t="shared" si="52"/>
        <v>21738.451667462075</v>
      </c>
      <c r="J109" s="9">
        <f t="shared" si="52"/>
        <v>22650.0457668831</v>
      </c>
      <c r="K109" s="9">
        <f t="shared" si="52"/>
        <v>23403.466782581825</v>
      </c>
      <c r="L109" s="9">
        <f t="shared" si="52"/>
        <v>23799.839153256144</v>
      </c>
      <c r="M109" s="9">
        <f t="shared" si="52"/>
        <v>24019.192509507353</v>
      </c>
      <c r="N109" s="6">
        <f t="shared" si="50"/>
        <v>24019.192509507353</v>
      </c>
      <c r="Z109"/>
      <c r="AA109"/>
      <c r="AB109"/>
      <c r="AC109"/>
      <c r="AD109"/>
      <c r="AE109"/>
      <c r="AF109"/>
      <c r="AG109"/>
      <c r="AH109"/>
      <c r="AI109"/>
    </row>
    <row r="110" spans="3:35" ht="12.75">
      <c r="C110" s="5">
        <f t="shared" si="51"/>
        <v>1989</v>
      </c>
      <c r="D110"/>
      <c r="E110" s="104">
        <v>5395</v>
      </c>
      <c r="F110" s="9">
        <f t="shared" si="52"/>
        <v>8758.905256499884</v>
      </c>
      <c r="G110" s="9">
        <f t="shared" si="52"/>
        <v>11131.588591209007</v>
      </c>
      <c r="H110" s="9">
        <f t="shared" si="52"/>
        <v>13042.599978295551</v>
      </c>
      <c r="I110" s="9">
        <f t="shared" si="52"/>
        <v>14521.43369267101</v>
      </c>
      <c r="J110" s="9">
        <f t="shared" si="52"/>
        <v>15130.384756521918</v>
      </c>
      <c r="K110" s="9">
        <f t="shared" si="52"/>
        <v>15633.67512372456</v>
      </c>
      <c r="L110" s="9">
        <f t="shared" si="52"/>
        <v>15898.454565535923</v>
      </c>
      <c r="M110" s="9">
        <f t="shared" si="52"/>
        <v>16044.984100702153</v>
      </c>
      <c r="N110" s="6">
        <f t="shared" si="50"/>
        <v>16044.98410070215</v>
      </c>
      <c r="Z110"/>
      <c r="AA110"/>
      <c r="AB110"/>
      <c r="AC110"/>
      <c r="AD110"/>
      <c r="AE110"/>
      <c r="AF110"/>
      <c r="AG110"/>
      <c r="AH110"/>
      <c r="AI110"/>
    </row>
    <row r="111" spans="3:35" ht="12.75">
      <c r="C111" s="5">
        <f t="shared" si="51"/>
        <v>1990</v>
      </c>
      <c r="D111" s="51">
        <v>2063</v>
      </c>
      <c r="E111" s="9">
        <f>D111*D$77</f>
        <v>6187.676897704888</v>
      </c>
      <c r="F111" s="9">
        <f t="shared" si="52"/>
        <v>10045.834236298468</v>
      </c>
      <c r="G111" s="9">
        <f t="shared" si="52"/>
        <v>12767.131336529985</v>
      </c>
      <c r="H111" s="9">
        <f t="shared" si="52"/>
        <v>14958.92392431986</v>
      </c>
      <c r="I111" s="9">
        <f t="shared" si="52"/>
        <v>16655.039811250004</v>
      </c>
      <c r="J111" s="9">
        <f t="shared" si="52"/>
        <v>17353.46287512824</v>
      </c>
      <c r="K111" s="9">
        <f t="shared" si="52"/>
        <v>17930.700720907145</v>
      </c>
      <c r="L111" s="9">
        <f t="shared" si="52"/>
        <v>18234.383693119078</v>
      </c>
      <c r="M111" s="9">
        <f t="shared" si="52"/>
        <v>18402.44252900036</v>
      </c>
      <c r="N111" s="6">
        <f>P16</f>
        <v>18402.44252900036</v>
      </c>
      <c r="Z111"/>
      <c r="AA111"/>
      <c r="AB111"/>
      <c r="AC111"/>
      <c r="AD111"/>
      <c r="AE111"/>
      <c r="AF111"/>
      <c r="AG111"/>
      <c r="AH111"/>
      <c r="AI111"/>
    </row>
    <row r="112" spans="26:35" ht="12.75">
      <c r="Z112"/>
      <c r="AA112"/>
      <c r="AB112"/>
      <c r="AC112"/>
      <c r="AD112"/>
      <c r="AE112"/>
      <c r="AF112"/>
      <c r="AG112"/>
      <c r="AH112"/>
      <c r="AI112"/>
    </row>
    <row r="113" spans="26:35" ht="12.75">
      <c r="Z113"/>
      <c r="AA113"/>
      <c r="AB113"/>
      <c r="AC113"/>
      <c r="AD113"/>
      <c r="AE113"/>
      <c r="AF113"/>
      <c r="AG113"/>
      <c r="AH113"/>
      <c r="AI113"/>
    </row>
    <row r="114" spans="26:35" ht="12.75">
      <c r="Z114"/>
      <c r="AA114"/>
      <c r="AB114"/>
      <c r="AC114"/>
      <c r="AD114"/>
      <c r="AE114"/>
      <c r="AF114"/>
      <c r="AG114"/>
      <c r="AH114"/>
      <c r="AI114"/>
    </row>
    <row r="115" spans="26:35" ht="12.75">
      <c r="Z115"/>
      <c r="AA115"/>
      <c r="AB115"/>
      <c r="AC115"/>
      <c r="AD115"/>
      <c r="AE115"/>
      <c r="AF115"/>
      <c r="AG115"/>
      <c r="AH115"/>
      <c r="AI115"/>
    </row>
    <row r="116" spans="26:35" ht="12.75">
      <c r="Z116"/>
      <c r="AA116"/>
      <c r="AB116"/>
      <c r="AC116"/>
      <c r="AD116"/>
      <c r="AE116"/>
      <c r="AF116"/>
      <c r="AG116"/>
      <c r="AH116"/>
      <c r="AI116"/>
    </row>
    <row r="117" spans="26:35" ht="12.75">
      <c r="Z117"/>
      <c r="AA117"/>
      <c r="AB117"/>
      <c r="AC117"/>
      <c r="AD117"/>
      <c r="AE117"/>
      <c r="AF117"/>
      <c r="AG117"/>
      <c r="AH117"/>
      <c r="AI117"/>
    </row>
    <row r="119" spans="3:7" ht="16.5">
      <c r="C119" s="58" t="s">
        <v>124</v>
      </c>
      <c r="D119" s="59"/>
      <c r="E119" s="59"/>
      <c r="F119" s="59"/>
      <c r="G119" s="60"/>
    </row>
    <row r="120" spans="3:7" ht="25.5">
      <c r="C120" s="54" t="s">
        <v>66</v>
      </c>
      <c r="D120" s="55" t="s">
        <v>67</v>
      </c>
      <c r="E120" s="55" t="s">
        <v>125</v>
      </c>
      <c r="F120" s="56" t="s">
        <v>126</v>
      </c>
      <c r="G120" s="57" t="s">
        <v>22</v>
      </c>
    </row>
    <row r="121" spans="3:7" ht="12.75">
      <c r="C121" s="61" t="s">
        <v>23</v>
      </c>
      <c r="D121" s="62" t="s">
        <v>24</v>
      </c>
      <c r="E121" s="62" t="s">
        <v>25</v>
      </c>
      <c r="F121" s="62" t="s">
        <v>26</v>
      </c>
      <c r="G121" s="63" t="s">
        <v>27</v>
      </c>
    </row>
    <row r="122" spans="3:7" ht="15.75">
      <c r="C122" s="64"/>
      <c r="D122" s="65"/>
      <c r="E122" s="65"/>
      <c r="F122" s="66" t="s">
        <v>68</v>
      </c>
      <c r="G122" s="67" t="s">
        <v>69</v>
      </c>
    </row>
    <row r="123" spans="3:7" ht="12.75">
      <c r="C123" s="3">
        <f>C33</f>
        <v>1981</v>
      </c>
      <c r="D123" s="6">
        <f aca="true" t="shared" si="53" ref="D123:D130">D7</f>
        <v>5012</v>
      </c>
      <c r="E123" s="50">
        <f aca="true" t="shared" si="54" ref="E123:E131">D33</f>
        <v>1.6498403830806065</v>
      </c>
      <c r="F123" s="49">
        <f aca="true" t="shared" si="55" ref="F123:F131">(E123-E$132)^2</f>
        <v>1.821199556353361</v>
      </c>
      <c r="G123" s="22">
        <f aca="true" t="shared" si="56" ref="G123:G131">F123*D123</f>
        <v>9127.852176443044</v>
      </c>
    </row>
    <row r="124" spans="3:7" ht="12.75">
      <c r="C124" s="3">
        <f aca="true" t="shared" si="57" ref="C124:C131">C34</f>
        <v>1982</v>
      </c>
      <c r="D124" s="6">
        <f t="shared" si="53"/>
        <v>106</v>
      </c>
      <c r="E124" s="50">
        <f t="shared" si="54"/>
        <v>40.424528301886795</v>
      </c>
      <c r="F124" s="49">
        <f t="shared" si="55"/>
        <v>1400.643323372555</v>
      </c>
      <c r="G124" s="22">
        <f t="shared" si="56"/>
        <v>148468.19227749083</v>
      </c>
    </row>
    <row r="125" spans="3:7" ht="12.75">
      <c r="C125" s="3">
        <f t="shared" si="57"/>
        <v>1983</v>
      </c>
      <c r="D125" s="6">
        <f t="shared" si="53"/>
        <v>3410</v>
      </c>
      <c r="E125" s="50">
        <f t="shared" si="54"/>
        <v>2.6369501466275658</v>
      </c>
      <c r="F125" s="49">
        <f t="shared" si="55"/>
        <v>0.13133992428455335</v>
      </c>
      <c r="G125" s="22">
        <f t="shared" si="56"/>
        <v>447.86914181032694</v>
      </c>
    </row>
    <row r="126" spans="3:7" ht="12.75">
      <c r="C126" s="3">
        <f t="shared" si="57"/>
        <v>1984</v>
      </c>
      <c r="D126" s="6">
        <f t="shared" si="53"/>
        <v>5655</v>
      </c>
      <c r="E126" s="50">
        <f t="shared" si="54"/>
        <v>2.0433244916003535</v>
      </c>
      <c r="F126" s="49">
        <f t="shared" si="55"/>
        <v>0.914001314580257</v>
      </c>
      <c r="G126" s="22">
        <f t="shared" si="56"/>
        <v>5168.677433951353</v>
      </c>
    </row>
    <row r="127" spans="3:7" ht="12.75">
      <c r="C127" s="3">
        <f t="shared" si="57"/>
        <v>1985</v>
      </c>
      <c r="D127" s="6">
        <f t="shared" si="53"/>
        <v>1092</v>
      </c>
      <c r="E127" s="50">
        <f t="shared" si="54"/>
        <v>8.75915750915751</v>
      </c>
      <c r="F127" s="49">
        <f t="shared" si="55"/>
        <v>33.175282882569114</v>
      </c>
      <c r="G127" s="22">
        <f t="shared" si="56"/>
        <v>36227.40890776547</v>
      </c>
    </row>
    <row r="128" spans="3:7" ht="12.75">
      <c r="C128" s="3">
        <f t="shared" si="57"/>
        <v>1986</v>
      </c>
      <c r="D128" s="6">
        <f t="shared" si="53"/>
        <v>1513</v>
      </c>
      <c r="E128" s="50">
        <f t="shared" si="54"/>
        <v>4.259748843357568</v>
      </c>
      <c r="F128" s="49">
        <f t="shared" si="55"/>
        <v>1.5885834361457292</v>
      </c>
      <c r="G128" s="22">
        <f t="shared" si="56"/>
        <v>2403.526738888488</v>
      </c>
    </row>
    <row r="129" spans="3:7" ht="12.75">
      <c r="C129" s="3">
        <f t="shared" si="57"/>
        <v>1987</v>
      </c>
      <c r="D129" s="6">
        <f t="shared" si="53"/>
        <v>557</v>
      </c>
      <c r="E129" s="50">
        <f t="shared" si="54"/>
        <v>7.217235188509874</v>
      </c>
      <c r="F129" s="49">
        <f t="shared" si="55"/>
        <v>17.790482482847107</v>
      </c>
      <c r="G129" s="22">
        <f t="shared" si="56"/>
        <v>9909.298742945839</v>
      </c>
    </row>
    <row r="130" spans="3:7" ht="12.75">
      <c r="C130" s="3">
        <f t="shared" si="57"/>
        <v>1988</v>
      </c>
      <c r="D130" s="6">
        <f t="shared" si="53"/>
        <v>1351</v>
      </c>
      <c r="E130" s="50">
        <f t="shared" si="54"/>
        <v>5.142116950407106</v>
      </c>
      <c r="F130" s="49">
        <f t="shared" si="55"/>
        <v>4.591413128240757</v>
      </c>
      <c r="G130" s="22">
        <f t="shared" si="56"/>
        <v>6202.999136253263</v>
      </c>
    </row>
    <row r="131" spans="3:7" ht="12.75">
      <c r="C131" s="34">
        <f t="shared" si="57"/>
        <v>1989</v>
      </c>
      <c r="D131" s="51">
        <f>D15</f>
        <v>3133</v>
      </c>
      <c r="E131" s="18">
        <f t="shared" si="54"/>
        <v>1.7219917012448134</v>
      </c>
      <c r="F131" s="52">
        <f t="shared" si="55"/>
        <v>1.6316663251836745</v>
      </c>
      <c r="G131" s="53">
        <f t="shared" si="56"/>
        <v>5112.010596800452</v>
      </c>
    </row>
    <row r="132" spans="3:7" ht="12.75">
      <c r="C132" s="135" t="s">
        <v>127</v>
      </c>
      <c r="E132" s="50">
        <f>D43</f>
        <v>2.9993586513353794</v>
      </c>
      <c r="F132" s="136" t="s">
        <v>86</v>
      </c>
      <c r="G132" s="93">
        <f>SUM(G123:G131)</f>
        <v>223067.83515234906</v>
      </c>
    </row>
    <row r="133" spans="3:7" ht="16.5">
      <c r="C133" s="21"/>
      <c r="F133" s="83" t="s">
        <v>156</v>
      </c>
      <c r="G133" s="22">
        <f>SUM(G123:G131)/(COUNT(G123:G131)-1)</f>
        <v>27883.479394043632</v>
      </c>
    </row>
    <row r="136" ht="12.75">
      <c r="G136" s="48"/>
    </row>
    <row r="137" spans="3:10" ht="12.75">
      <c r="C137" s="58" t="s">
        <v>70</v>
      </c>
      <c r="D137" s="59"/>
      <c r="E137" s="59"/>
      <c r="F137" s="59"/>
      <c r="G137" s="59"/>
      <c r="H137" s="59"/>
      <c r="I137" s="59"/>
      <c r="J137" s="60"/>
    </row>
    <row r="138" spans="3:10" ht="16.5">
      <c r="C138" s="17"/>
      <c r="D138" s="35"/>
      <c r="E138" s="35"/>
      <c r="F138" s="74" t="s">
        <v>129</v>
      </c>
      <c r="G138" s="35"/>
      <c r="H138" s="35"/>
      <c r="I138" s="75" t="s">
        <v>89</v>
      </c>
      <c r="J138" s="76" t="s">
        <v>131</v>
      </c>
    </row>
    <row r="139" spans="3:10" ht="7.5" customHeight="1">
      <c r="C139" s="36"/>
      <c r="F139" s="70" t="s">
        <v>78</v>
      </c>
      <c r="H139" s="69"/>
      <c r="I139" s="69" t="s">
        <v>80</v>
      </c>
      <c r="J139" s="77" t="s">
        <v>83</v>
      </c>
    </row>
    <row r="140" spans="3:10" ht="14.25" customHeight="1">
      <c r="C140" s="78" t="s">
        <v>21</v>
      </c>
      <c r="D140" s="68" t="s">
        <v>128</v>
      </c>
      <c r="E140" s="68" t="s">
        <v>129</v>
      </c>
      <c r="F140" s="68" t="s">
        <v>130</v>
      </c>
      <c r="G140" s="68" t="s">
        <v>75</v>
      </c>
      <c r="H140" s="34" t="s">
        <v>76</v>
      </c>
      <c r="I140" s="68" t="s">
        <v>79</v>
      </c>
      <c r="J140" s="79" t="s">
        <v>132</v>
      </c>
    </row>
    <row r="141" spans="3:10" ht="12.75">
      <c r="C141" s="61" t="s">
        <v>23</v>
      </c>
      <c r="D141" s="62" t="s">
        <v>24</v>
      </c>
      <c r="E141" s="62" t="s">
        <v>25</v>
      </c>
      <c r="F141" s="62" t="s">
        <v>26</v>
      </c>
      <c r="G141" s="62" t="s">
        <v>27</v>
      </c>
      <c r="H141" s="62" t="s">
        <v>28</v>
      </c>
      <c r="I141" s="62" t="s">
        <v>43</v>
      </c>
      <c r="J141" s="63" t="s">
        <v>71</v>
      </c>
    </row>
    <row r="142" spans="3:10" ht="12.75">
      <c r="C142" s="64"/>
      <c r="D142" s="65"/>
      <c r="E142" s="65"/>
      <c r="F142" s="66" t="s">
        <v>74</v>
      </c>
      <c r="G142" s="65"/>
      <c r="H142" s="65"/>
      <c r="I142" s="66" t="s">
        <v>81</v>
      </c>
      <c r="J142" s="67" t="s">
        <v>82</v>
      </c>
    </row>
    <row r="143" spans="3:10" ht="12.75">
      <c r="C143" s="3">
        <f aca="true" t="shared" si="58" ref="C143:C150">C144+1</f>
        <v>9</v>
      </c>
      <c r="D143" s="19">
        <f>L43</f>
        <v>1.0092165898617511</v>
      </c>
      <c r="E143" s="71">
        <f>MIN(E144^2/E145,MIN(E145,E144))</f>
        <v>1.3434254656244817</v>
      </c>
      <c r="F143" s="22">
        <f aca="true" t="shared" si="59" ref="F143:F151">E143/D143^2</f>
        <v>1.3190000573547511</v>
      </c>
      <c r="G143" s="23">
        <f aca="true" t="shared" si="60" ref="G143:G148">D144*G144</f>
        <v>18234.383693119078</v>
      </c>
      <c r="H143" s="23">
        <f>L17</f>
        <v>18662</v>
      </c>
      <c r="I143" s="73">
        <f aca="true" t="shared" si="61" ref="I143:I150">1/G143+1/H143</f>
        <v>0.0001084262724969314</v>
      </c>
      <c r="J143" s="26">
        <f>I143*F143</f>
        <v>0.0001430142596422144</v>
      </c>
    </row>
    <row r="144" spans="3:10" ht="12.75">
      <c r="C144" s="3">
        <f t="shared" si="58"/>
        <v>8</v>
      </c>
      <c r="D144" s="50">
        <f>K43</f>
        <v>1.0169364810075625</v>
      </c>
      <c r="E144" s="22">
        <f>W45</f>
        <v>7.88320371458801</v>
      </c>
      <c r="F144" s="22">
        <f t="shared" si="59"/>
        <v>7.622810000708977</v>
      </c>
      <c r="G144" s="23">
        <f t="shared" si="60"/>
        <v>17930.700720907145</v>
      </c>
      <c r="H144" s="23">
        <f>K17</f>
        <v>34777</v>
      </c>
      <c r="I144" s="73">
        <f t="shared" si="61"/>
        <v>8.452490554219921E-05</v>
      </c>
      <c r="J144" s="26">
        <f aca="true" t="shared" si="62" ref="J144:J151">I144*F144</f>
        <v>0.0006443172952760578</v>
      </c>
    </row>
    <row r="145" spans="3:10" ht="12.75">
      <c r="C145" s="3">
        <f t="shared" si="58"/>
        <v>7</v>
      </c>
      <c r="D145" s="50">
        <f>J43</f>
        <v>1.033263553789384</v>
      </c>
      <c r="E145" s="22">
        <f>V45</f>
        <v>1.3434254656244817</v>
      </c>
      <c r="F145" s="22">
        <f t="shared" si="59"/>
        <v>1.2583207397875493</v>
      </c>
      <c r="G145" s="23">
        <f t="shared" si="60"/>
        <v>17353.46287512824</v>
      </c>
      <c r="H145" s="23">
        <f>J17</f>
        <v>56368</v>
      </c>
      <c r="I145" s="73">
        <f t="shared" si="61"/>
        <v>7.53659482160129E-05</v>
      </c>
      <c r="J145" s="26">
        <f t="shared" si="62"/>
        <v>9.483453571396349E-05</v>
      </c>
    </row>
    <row r="146" spans="3:10" ht="12.75">
      <c r="C146" s="3">
        <f t="shared" si="58"/>
        <v>6</v>
      </c>
      <c r="D146" s="50">
        <f>I43</f>
        <v>1.0419346379110106</v>
      </c>
      <c r="E146" s="22">
        <f>U45</f>
        <v>40.819862685088346</v>
      </c>
      <c r="F146" s="22">
        <f t="shared" si="59"/>
        <v>37.60023745999305</v>
      </c>
      <c r="G146" s="23">
        <f t="shared" si="60"/>
        <v>16655.039811250004</v>
      </c>
      <c r="H146" s="23">
        <f>I17</f>
        <v>80077</v>
      </c>
      <c r="I146" s="73">
        <f t="shared" si="61"/>
        <v>7.25298662185209E-05</v>
      </c>
      <c r="J146" s="26">
        <f t="shared" si="62"/>
        <v>0.002727140192757914</v>
      </c>
    </row>
    <row r="147" spans="3:10" ht="12.75">
      <c r="C147" s="3">
        <f t="shared" si="58"/>
        <v>5</v>
      </c>
      <c r="D147" s="50">
        <f>H43</f>
        <v>1.113384886206463</v>
      </c>
      <c r="E147" s="22">
        <f>T45</f>
        <v>119.43905399089483</v>
      </c>
      <c r="F147" s="22">
        <f t="shared" si="59"/>
        <v>96.35088579968605</v>
      </c>
      <c r="G147" s="23">
        <f t="shared" si="60"/>
        <v>14958.92392431986</v>
      </c>
      <c r="H147" s="23">
        <f>H17</f>
        <v>95436</v>
      </c>
      <c r="I147" s="73">
        <f t="shared" si="61"/>
        <v>7.732795454578406E-05</v>
      </c>
      <c r="J147" s="26">
        <f t="shared" si="62"/>
        <v>0.007450616917564154</v>
      </c>
    </row>
    <row r="148" spans="3:10" ht="12.75">
      <c r="C148" s="3">
        <f t="shared" si="58"/>
        <v>4</v>
      </c>
      <c r="D148" s="50">
        <f>G43</f>
        <v>1.1716746330883747</v>
      </c>
      <c r="E148" s="22">
        <f>S45</f>
        <v>61.229995390441616</v>
      </c>
      <c r="F148" s="22">
        <f t="shared" si="59"/>
        <v>44.601572605638054</v>
      </c>
      <c r="G148" s="23">
        <f t="shared" si="60"/>
        <v>12767.131336529985</v>
      </c>
      <c r="H148" s="23">
        <f>G17</f>
        <v>94982</v>
      </c>
      <c r="I148" s="73">
        <f t="shared" si="61"/>
        <v>8.885444150514652E-05</v>
      </c>
      <c r="J148" s="26">
        <f t="shared" si="62"/>
        <v>0.003963047824125212</v>
      </c>
    </row>
    <row r="149" spans="3:10" ht="12.75">
      <c r="C149" s="3">
        <f t="shared" si="58"/>
        <v>3</v>
      </c>
      <c r="D149" s="50">
        <f>F43</f>
        <v>1.2708881150356526</v>
      </c>
      <c r="E149" s="22">
        <f>R45</f>
        <v>691.4427845771144</v>
      </c>
      <c r="F149" s="22">
        <f t="shared" si="59"/>
        <v>428.0964360825357</v>
      </c>
      <c r="G149" s="23">
        <f>D150*G150</f>
        <v>10045.834236298468</v>
      </c>
      <c r="H149" s="23">
        <f>F17</f>
        <v>84426</v>
      </c>
      <c r="I149" s="73">
        <f t="shared" si="61"/>
        <v>0.0001113884412227503</v>
      </c>
      <c r="J149" s="26">
        <f t="shared" si="62"/>
        <v>0.047684994708248406</v>
      </c>
    </row>
    <row r="150" spans="3:10" ht="12.75">
      <c r="C150" s="3">
        <f t="shared" si="58"/>
        <v>2</v>
      </c>
      <c r="D150" s="50">
        <f>E43</f>
        <v>1.6235227537534538</v>
      </c>
      <c r="E150" s="22">
        <f>Q45</f>
        <v>1108.5262861330064</v>
      </c>
      <c r="F150" s="22">
        <f t="shared" si="59"/>
        <v>420.5612322807977</v>
      </c>
      <c r="G150" s="23">
        <f>D151*G151</f>
        <v>6187.676897704888</v>
      </c>
      <c r="H150" s="23">
        <f>E17</f>
        <v>60078</v>
      </c>
      <c r="I150" s="73">
        <f t="shared" si="61"/>
        <v>0.00017825656934856624</v>
      </c>
      <c r="J150" s="26">
        <f t="shared" si="62"/>
        <v>0.0749678024673805</v>
      </c>
    </row>
    <row r="151" spans="3:10" ht="12.75">
      <c r="C151" s="34">
        <v>1</v>
      </c>
      <c r="D151" s="18">
        <f>D43</f>
        <v>2.9993586513353794</v>
      </c>
      <c r="E151" s="53">
        <f>P45</f>
        <v>27883.479394043632</v>
      </c>
      <c r="F151" s="53">
        <f t="shared" si="59"/>
        <v>3099.489471081799</v>
      </c>
      <c r="G151" s="80">
        <f>D29</f>
        <v>2063</v>
      </c>
      <c r="H151" s="80">
        <f>D17</f>
        <v>21829</v>
      </c>
      <c r="I151" s="81">
        <f>1/G151+1/H151</f>
        <v>0.0005305415932107197</v>
      </c>
      <c r="J151" s="82">
        <f t="shared" si="62"/>
        <v>1.6444080821275886</v>
      </c>
    </row>
    <row r="152" spans="3:10" ht="12.75">
      <c r="C152" s="28"/>
      <c r="D152"/>
      <c r="E152"/>
      <c r="F152" s="72" t="s">
        <v>119</v>
      </c>
      <c r="G152" s="23">
        <f>G143*D143</f>
        <v>18402.44252900036</v>
      </c>
      <c r="I152" s="24" t="s">
        <v>86</v>
      </c>
      <c r="J152" s="26">
        <f>SUM(J143:J151)</f>
        <v>1.782083850328297</v>
      </c>
    </row>
    <row r="153" spans="9:10" ht="15.75">
      <c r="I153" s="83" t="s">
        <v>157</v>
      </c>
      <c r="J153" s="23">
        <f>J152*(G152^2)</f>
        <v>603502501.7256341</v>
      </c>
    </row>
    <row r="154" spans="9:10" ht="15.75" customHeight="1">
      <c r="I154" s="83" t="s">
        <v>88</v>
      </c>
      <c r="J154" s="84">
        <f>SQRT(J153)</f>
        <v>24566.287910989606</v>
      </c>
    </row>
    <row r="156" spans="2:11" ht="12.75">
      <c r="B156" s="101" t="s">
        <v>133</v>
      </c>
      <c r="C156" s="102"/>
      <c r="D156" s="102"/>
      <c r="E156" s="102"/>
      <c r="F156" s="102"/>
      <c r="G156" s="102"/>
      <c r="H156" s="102"/>
      <c r="I156" s="102"/>
      <c r="J156" s="37"/>
      <c r="K156" s="103"/>
    </row>
    <row r="157" spans="2:11" ht="12.75">
      <c r="B157" s="17" t="s">
        <v>18</v>
      </c>
      <c r="C157" s="35">
        <v>1</v>
      </c>
      <c r="D157" s="35">
        <f>C157+1</f>
        <v>2</v>
      </c>
      <c r="E157" s="35">
        <f aca="true" t="shared" si="63" ref="E157:K157">D157+1</f>
        <v>3</v>
      </c>
      <c r="F157" s="35">
        <f t="shared" si="63"/>
        <v>4</v>
      </c>
      <c r="G157" s="35">
        <f t="shared" si="63"/>
        <v>5</v>
      </c>
      <c r="H157" s="35">
        <f t="shared" si="63"/>
        <v>6</v>
      </c>
      <c r="I157" s="35">
        <f t="shared" si="63"/>
        <v>7</v>
      </c>
      <c r="J157" s="35">
        <f t="shared" si="63"/>
        <v>8</v>
      </c>
      <c r="K157" s="94">
        <f t="shared" si="63"/>
        <v>9</v>
      </c>
    </row>
    <row r="158" spans="2:11" ht="12.75">
      <c r="B158" s="36" t="s">
        <v>63</v>
      </c>
      <c r="C158" s="1">
        <f>1991-C157</f>
        <v>1990</v>
      </c>
      <c r="D158" s="1">
        <f aca="true" t="shared" si="64" ref="D158:K158">1991-D157</f>
        <v>1989</v>
      </c>
      <c r="E158" s="1">
        <f t="shared" si="64"/>
        <v>1988</v>
      </c>
      <c r="F158" s="1">
        <f t="shared" si="64"/>
        <v>1987</v>
      </c>
      <c r="G158" s="1">
        <f t="shared" si="64"/>
        <v>1986</v>
      </c>
      <c r="H158" s="1">
        <f t="shared" si="64"/>
        <v>1985</v>
      </c>
      <c r="I158" s="1">
        <f t="shared" si="64"/>
        <v>1984</v>
      </c>
      <c r="J158" s="1">
        <f t="shared" si="64"/>
        <v>1983</v>
      </c>
      <c r="K158" s="95">
        <f t="shared" si="64"/>
        <v>1982</v>
      </c>
    </row>
    <row r="159" spans="2:11" ht="12.75">
      <c r="B159" s="36" t="s">
        <v>110</v>
      </c>
      <c r="C159" s="20">
        <f>D77</f>
        <v>2.9993586513353794</v>
      </c>
      <c r="D159" s="20">
        <f aca="true" t="shared" si="65" ref="D159:J159">E77</f>
        <v>1.6235227537534538</v>
      </c>
      <c r="E159" s="20">
        <f t="shared" si="65"/>
        <v>1.2708881150356526</v>
      </c>
      <c r="F159" s="20">
        <f t="shared" si="65"/>
        <v>1.1716746330883747</v>
      </c>
      <c r="G159" s="20">
        <f t="shared" si="65"/>
        <v>1.113384886206463</v>
      </c>
      <c r="H159" s="20">
        <f t="shared" si="65"/>
        <v>1.0419346379110106</v>
      </c>
      <c r="I159" s="20">
        <f t="shared" si="65"/>
        <v>1.033263553789384</v>
      </c>
      <c r="J159" s="20">
        <f t="shared" si="65"/>
        <v>1.0169364810075625</v>
      </c>
      <c r="K159" s="96">
        <f>L43</f>
        <v>1.0092165898617511</v>
      </c>
    </row>
    <row r="160" spans="2:11" ht="15">
      <c r="B160" s="97" t="s">
        <v>111</v>
      </c>
      <c r="C160" s="93">
        <f>D98</f>
        <v>27883.479394043632</v>
      </c>
      <c r="D160" s="93">
        <f aca="true" t="shared" si="66" ref="D160:J160">E98</f>
        <v>1108.5262861330064</v>
      </c>
      <c r="E160" s="93">
        <f t="shared" si="66"/>
        <v>691.4427845771144</v>
      </c>
      <c r="F160" s="93">
        <f t="shared" si="66"/>
        <v>61.229995390441616</v>
      </c>
      <c r="G160" s="93">
        <f t="shared" si="66"/>
        <v>119.43905399089483</v>
      </c>
      <c r="H160" s="93">
        <f t="shared" si="66"/>
        <v>40.819862685088346</v>
      </c>
      <c r="I160" s="93">
        <f t="shared" si="66"/>
        <v>1.3434254656244817</v>
      </c>
      <c r="J160" s="93">
        <f t="shared" si="66"/>
        <v>7.88320371458801</v>
      </c>
      <c r="K160" s="98">
        <f>MIN(J160,I160)</f>
        <v>1.3434254656244817</v>
      </c>
    </row>
    <row r="161" spans="2:11" ht="16.5">
      <c r="B161" s="99" t="s">
        <v>112</v>
      </c>
      <c r="C161" s="53">
        <f>C160/C159^2</f>
        <v>3099.489471081799</v>
      </c>
      <c r="D161" s="53">
        <f aca="true" t="shared" si="67" ref="D161:K161">D160/D159^2</f>
        <v>420.5612322807977</v>
      </c>
      <c r="E161" s="53">
        <f t="shared" si="67"/>
        <v>428.0964360825357</v>
      </c>
      <c r="F161" s="53">
        <f t="shared" si="67"/>
        <v>44.601572605638054</v>
      </c>
      <c r="G161" s="53">
        <f t="shared" si="67"/>
        <v>96.35088579968605</v>
      </c>
      <c r="H161" s="53">
        <f t="shared" si="67"/>
        <v>37.60023745999305</v>
      </c>
      <c r="I161" s="53">
        <f t="shared" si="67"/>
        <v>1.2583207397875493</v>
      </c>
      <c r="J161" s="53">
        <f t="shared" si="67"/>
        <v>7.622810000708977</v>
      </c>
      <c r="K161" s="100">
        <f t="shared" si="67"/>
        <v>1.3190000573547511</v>
      </c>
    </row>
    <row r="162" spans="2:11" ht="12.75">
      <c r="B162" s="1" t="s">
        <v>113</v>
      </c>
      <c r="C162" s="6">
        <f>N16</f>
        <v>2063</v>
      </c>
      <c r="D162" s="6">
        <f>N15</f>
        <v>5395</v>
      </c>
      <c r="E162" s="23">
        <f>VLOOKUP(E$158,$C$7:$N$16,12)</f>
        <v>13112</v>
      </c>
      <c r="F162" s="23">
        <f aca="true" t="shared" si="68" ref="F162:K162">VLOOKUP(F$158,$C$7:$N$16,12)</f>
        <v>12314</v>
      </c>
      <c r="G162" s="23">
        <f t="shared" si="68"/>
        <v>15852</v>
      </c>
      <c r="H162" s="23">
        <f t="shared" si="68"/>
        <v>26180</v>
      </c>
      <c r="I162" s="23">
        <f t="shared" si="68"/>
        <v>27067</v>
      </c>
      <c r="J162" s="23">
        <f t="shared" si="68"/>
        <v>23466</v>
      </c>
      <c r="K162" s="23">
        <f t="shared" si="68"/>
        <v>16704</v>
      </c>
    </row>
    <row r="163" spans="2:11" ht="12.75">
      <c r="B163" s="1" t="s">
        <v>39</v>
      </c>
      <c r="C163" s="6">
        <f>D17</f>
        <v>21829</v>
      </c>
      <c r="D163" s="6">
        <f aca="true" t="shared" si="69" ref="D163:K163">E17</f>
        <v>60078</v>
      </c>
      <c r="E163" s="6">
        <f t="shared" si="69"/>
        <v>84426</v>
      </c>
      <c r="F163" s="6">
        <f t="shared" si="69"/>
        <v>94982</v>
      </c>
      <c r="G163" s="6">
        <f t="shared" si="69"/>
        <v>95436</v>
      </c>
      <c r="H163" s="6">
        <f t="shared" si="69"/>
        <v>80077</v>
      </c>
      <c r="I163" s="6">
        <f t="shared" si="69"/>
        <v>56368</v>
      </c>
      <c r="J163" s="6">
        <f t="shared" si="69"/>
        <v>34777</v>
      </c>
      <c r="K163" s="6">
        <f t="shared" si="69"/>
        <v>18662</v>
      </c>
    </row>
    <row r="165" spans="2:7" ht="12.75">
      <c r="B165" s="106" t="s">
        <v>114</v>
      </c>
      <c r="C165" s="107"/>
      <c r="D165" s="107"/>
      <c r="E165" s="107"/>
      <c r="F165" s="107"/>
      <c r="G165" s="107"/>
    </row>
    <row r="166" spans="2:7" ht="15.75">
      <c r="B166" s="107"/>
      <c r="C166" s="108"/>
      <c r="D166" s="109"/>
      <c r="E166" s="109"/>
      <c r="F166" s="110" t="s">
        <v>89</v>
      </c>
      <c r="G166" s="111" t="s">
        <v>85</v>
      </c>
    </row>
    <row r="167" spans="2:7" ht="12.75">
      <c r="B167" s="107"/>
      <c r="C167" s="112"/>
      <c r="D167" s="107"/>
      <c r="E167" s="107"/>
      <c r="F167" s="113" t="s">
        <v>80</v>
      </c>
      <c r="G167" s="114" t="s">
        <v>83</v>
      </c>
    </row>
    <row r="168" spans="2:11" ht="15.75">
      <c r="B168" s="115" t="s">
        <v>63</v>
      </c>
      <c r="C168" s="116" t="s">
        <v>18</v>
      </c>
      <c r="D168" s="117" t="s">
        <v>116</v>
      </c>
      <c r="E168" s="117" t="s">
        <v>117</v>
      </c>
      <c r="F168" s="118" t="s">
        <v>79</v>
      </c>
      <c r="G168" s="119" t="s">
        <v>84</v>
      </c>
      <c r="I168"/>
      <c r="J168"/>
      <c r="K168"/>
    </row>
    <row r="169" spans="2:11" ht="12.75">
      <c r="B169" s="120">
        <v>1983</v>
      </c>
      <c r="C169" s="120">
        <v>9</v>
      </c>
      <c r="D169" s="121">
        <f>D170*D144</f>
        <v>23863.43146332346</v>
      </c>
      <c r="E169" s="122">
        <f>K163</f>
        <v>18662</v>
      </c>
      <c r="F169" s="107">
        <f>1/D169+1/E169</f>
        <v>9.548994649228229E-05</v>
      </c>
      <c r="G169" s="120">
        <f>K161*F169</f>
        <v>0.00012595124490012247</v>
      </c>
      <c r="I169"/>
      <c r="J169"/>
      <c r="K169"/>
    </row>
    <row r="170" spans="2:11" ht="12.75">
      <c r="B170" s="117"/>
      <c r="C170" s="117">
        <v>8</v>
      </c>
      <c r="D170" s="123">
        <f>K9</f>
        <v>23466</v>
      </c>
      <c r="E170" s="123">
        <f>J163</f>
        <v>34777</v>
      </c>
      <c r="F170" s="124">
        <f>1/D170+1/E170</f>
        <v>7.136948369786471E-05</v>
      </c>
      <c r="G170" s="117">
        <f>J161*F170</f>
        <v>0.0005440360140775194</v>
      </c>
      <c r="I170"/>
      <c r="J170"/>
      <c r="K170"/>
    </row>
    <row r="171" spans="2:7" ht="12.75">
      <c r="B171" s="107" t="s">
        <v>40</v>
      </c>
      <c r="C171" s="107"/>
      <c r="D171" s="107"/>
      <c r="E171" s="107"/>
      <c r="F171" s="107"/>
      <c r="G171" s="107">
        <f>SUM(G169:G170)</f>
        <v>0.0006699872589776419</v>
      </c>
    </row>
    <row r="172" spans="2:7" ht="12.75">
      <c r="B172" s="107" t="s">
        <v>32</v>
      </c>
      <c r="C172" s="107"/>
      <c r="D172" s="107"/>
      <c r="E172" s="107"/>
      <c r="F172" s="107"/>
      <c r="G172" s="125">
        <f>D169*D143</f>
        <v>24083.37092381492</v>
      </c>
    </row>
    <row r="173" spans="2:7" ht="15.75">
      <c r="B173" s="107"/>
      <c r="C173" s="126" t="s">
        <v>121</v>
      </c>
      <c r="D173" s="107"/>
      <c r="E173" s="107"/>
      <c r="F173" s="107"/>
      <c r="G173" s="107">
        <f>G171*G172^2</f>
        <v>388598.47598170006</v>
      </c>
    </row>
    <row r="174" spans="2:7" ht="12.75">
      <c r="B174" s="127" t="s">
        <v>65</v>
      </c>
      <c r="C174" s="107"/>
      <c r="D174" s="107"/>
      <c r="E174" s="107"/>
      <c r="F174" s="107"/>
      <c r="G174" s="128">
        <f>SQRT(G173)</f>
        <v>623.376672631965</v>
      </c>
    </row>
    <row r="175" ht="12.75">
      <c r="G175"/>
    </row>
    <row r="178" spans="3:10" ht="12.75">
      <c r="C178" s="58" t="s">
        <v>118</v>
      </c>
      <c r="D178" s="59"/>
      <c r="E178" s="59"/>
      <c r="F178" s="59"/>
      <c r="G178" s="59"/>
      <c r="H178" s="59"/>
      <c r="I178" s="59"/>
      <c r="J178" s="60"/>
    </row>
    <row r="179" spans="3:10" ht="15.75">
      <c r="C179" s="17"/>
      <c r="D179" s="35"/>
      <c r="E179" s="35"/>
      <c r="F179" s="74" t="s">
        <v>73</v>
      </c>
      <c r="G179" s="35"/>
      <c r="H179" s="35"/>
      <c r="I179" s="75" t="s">
        <v>89</v>
      </c>
      <c r="J179" s="76" t="s">
        <v>85</v>
      </c>
    </row>
    <row r="180" spans="3:10" ht="7.5" customHeight="1">
      <c r="C180" s="36"/>
      <c r="F180" s="70" t="s">
        <v>78</v>
      </c>
      <c r="H180" s="69"/>
      <c r="I180" s="69" t="s">
        <v>80</v>
      </c>
      <c r="J180" s="77" t="s">
        <v>83</v>
      </c>
    </row>
    <row r="181" spans="3:10" ht="14.25" customHeight="1">
      <c r="C181" s="78" t="s">
        <v>21</v>
      </c>
      <c r="D181" s="68" t="s">
        <v>72</v>
      </c>
      <c r="E181" s="68" t="s">
        <v>73</v>
      </c>
      <c r="F181" s="68" t="s">
        <v>77</v>
      </c>
      <c r="G181" s="68" t="s">
        <v>75</v>
      </c>
      <c r="H181" s="34" t="s">
        <v>76</v>
      </c>
      <c r="I181" s="68" t="s">
        <v>79</v>
      </c>
      <c r="J181" s="79" t="s">
        <v>84</v>
      </c>
    </row>
    <row r="182" spans="3:10" ht="12.75">
      <c r="C182" s="61" t="s">
        <v>23</v>
      </c>
      <c r="D182" s="62" t="s">
        <v>24</v>
      </c>
      <c r="E182" s="62" t="s">
        <v>25</v>
      </c>
      <c r="F182" s="62" t="s">
        <v>26</v>
      </c>
      <c r="G182" s="62" t="s">
        <v>27</v>
      </c>
      <c r="H182" s="62" t="s">
        <v>28</v>
      </c>
      <c r="I182" s="62" t="s">
        <v>43</v>
      </c>
      <c r="J182" s="63" t="s">
        <v>71</v>
      </c>
    </row>
    <row r="183" spans="3:10" ht="12.75">
      <c r="C183" s="64"/>
      <c r="D183" s="65"/>
      <c r="E183" s="65"/>
      <c r="F183" s="66" t="s">
        <v>74</v>
      </c>
      <c r="G183" s="65"/>
      <c r="H183" s="65"/>
      <c r="I183" s="66" t="s">
        <v>81</v>
      </c>
      <c r="J183" s="67" t="s">
        <v>82</v>
      </c>
    </row>
    <row r="184" spans="3:10" ht="12.75">
      <c r="C184" s="3">
        <f aca="true" t="shared" si="70" ref="C184:E185">C143</f>
        <v>9</v>
      </c>
      <c r="D184" s="19">
        <f t="shared" si="70"/>
        <v>1.0092165898617511</v>
      </c>
      <c r="E184" s="71">
        <f t="shared" si="70"/>
        <v>1.3434254656244817</v>
      </c>
      <c r="F184" s="22">
        <f>E184/D184^2</f>
        <v>1.3190000573547511</v>
      </c>
      <c r="G184" s="23">
        <f>G185*D185</f>
        <v>23863.43146332346</v>
      </c>
      <c r="H184" s="23">
        <f>H143</f>
        <v>18662</v>
      </c>
      <c r="I184" s="73">
        <f>1/G184+1/H184</f>
        <v>9.548994649228229E-05</v>
      </c>
      <c r="J184" s="26">
        <f>I184*F184</f>
        <v>0.00012595124490012247</v>
      </c>
    </row>
    <row r="185" spans="3:10" ht="12.75">
      <c r="C185" s="3">
        <f t="shared" si="70"/>
        <v>8</v>
      </c>
      <c r="D185" s="50">
        <f t="shared" si="70"/>
        <v>1.0169364810075625</v>
      </c>
      <c r="E185" s="71">
        <f t="shared" si="70"/>
        <v>7.88320371458801</v>
      </c>
      <c r="F185" s="22">
        <f>E185/D185^2</f>
        <v>7.622810000708977</v>
      </c>
      <c r="G185" s="23">
        <f>K9</f>
        <v>23466</v>
      </c>
      <c r="H185" s="23">
        <f>H144</f>
        <v>34777</v>
      </c>
      <c r="I185" s="73">
        <f>1/G185+1/H185</f>
        <v>7.136948369786471E-05</v>
      </c>
      <c r="J185" s="26">
        <f>I185*F185</f>
        <v>0.0005440360140775194</v>
      </c>
    </row>
    <row r="186" spans="3:10" ht="12.75">
      <c r="C186" s="28"/>
      <c r="D186"/>
      <c r="E186"/>
      <c r="F186" s="72" t="s">
        <v>119</v>
      </c>
      <c r="G186" s="23">
        <f>G184*D184</f>
        <v>24083.37092381492</v>
      </c>
      <c r="I186" s="24" t="s">
        <v>86</v>
      </c>
      <c r="J186" s="26">
        <f>SUM(J184:J185)</f>
        <v>0.0006699872589776419</v>
      </c>
    </row>
    <row r="187" spans="9:10" ht="15.75">
      <c r="I187" s="83" t="s">
        <v>87</v>
      </c>
      <c r="J187" s="23">
        <f>J186*(G186^2)</f>
        <v>388598.47598170006</v>
      </c>
    </row>
    <row r="188" spans="9:10" ht="15.75" customHeight="1">
      <c r="I188" s="83" t="s">
        <v>88</v>
      </c>
      <c r="J188" s="84">
        <f>SQRT(J187)</f>
        <v>623.376672631965</v>
      </c>
    </row>
    <row r="191" ht="12.75">
      <c r="A191" s="1" t="s">
        <v>161</v>
      </c>
    </row>
    <row r="192" spans="3:10" ht="12.75">
      <c r="C192" s="58" t="s">
        <v>135</v>
      </c>
      <c r="D192" s="59"/>
      <c r="E192" s="59"/>
      <c r="F192" s="59"/>
      <c r="G192" s="59"/>
      <c r="H192" s="59"/>
      <c r="I192" s="59"/>
      <c r="J192" s="60"/>
    </row>
    <row r="193" spans="3:10" ht="16.5">
      <c r="C193" s="17"/>
      <c r="D193" s="35"/>
      <c r="E193" s="35"/>
      <c r="F193" s="74" t="s">
        <v>129</v>
      </c>
      <c r="G193" s="35"/>
      <c r="H193" s="35"/>
      <c r="I193" s="75" t="s">
        <v>89</v>
      </c>
      <c r="J193" s="76" t="s">
        <v>131</v>
      </c>
    </row>
    <row r="194" spans="3:10" ht="12.75">
      <c r="C194" s="36"/>
      <c r="F194" s="70" t="s">
        <v>78</v>
      </c>
      <c r="H194" s="69"/>
      <c r="I194" s="69" t="s">
        <v>80</v>
      </c>
      <c r="J194" s="77" t="s">
        <v>83</v>
      </c>
    </row>
    <row r="195" spans="3:10" ht="16.5">
      <c r="C195" s="78" t="s">
        <v>21</v>
      </c>
      <c r="D195" s="68" t="s">
        <v>128</v>
      </c>
      <c r="E195" s="68" t="s">
        <v>129</v>
      </c>
      <c r="F195" s="68" t="s">
        <v>130</v>
      </c>
      <c r="G195" s="68" t="s">
        <v>75</v>
      </c>
      <c r="H195" s="34" t="s">
        <v>76</v>
      </c>
      <c r="I195" s="68" t="s">
        <v>79</v>
      </c>
      <c r="J195" s="79" t="s">
        <v>132</v>
      </c>
    </row>
    <row r="196" spans="3:10" ht="12.75">
      <c r="C196" s="61" t="s">
        <v>23</v>
      </c>
      <c r="D196" s="62" t="s">
        <v>24</v>
      </c>
      <c r="E196" s="62" t="s">
        <v>25</v>
      </c>
      <c r="F196" s="62" t="s">
        <v>26</v>
      </c>
      <c r="G196" s="62" t="s">
        <v>27</v>
      </c>
      <c r="H196" s="62" t="s">
        <v>28</v>
      </c>
      <c r="I196" s="62" t="s">
        <v>43</v>
      </c>
      <c r="J196" s="63" t="s">
        <v>71</v>
      </c>
    </row>
    <row r="197" spans="3:10" ht="12.75">
      <c r="C197" s="64"/>
      <c r="D197" s="65"/>
      <c r="E197" s="65"/>
      <c r="F197" s="66" t="s">
        <v>74</v>
      </c>
      <c r="G197" s="65"/>
      <c r="H197" s="65"/>
      <c r="I197" s="66" t="s">
        <v>81</v>
      </c>
      <c r="J197" s="67" t="s">
        <v>82</v>
      </c>
    </row>
    <row r="198" spans="3:10" ht="12.75">
      <c r="C198" s="3">
        <f aca="true" t="shared" si="71" ref="C198:C204">C199+1</f>
        <v>8</v>
      </c>
      <c r="D198" s="50">
        <f>D143</f>
        <v>1.0092165898617511</v>
      </c>
      <c r="E198" s="22">
        <f>E143</f>
        <v>1.3434254656244817</v>
      </c>
      <c r="F198" s="22">
        <f aca="true" t="shared" si="72" ref="F198:F205">E198/D198^2</f>
        <v>1.3190000573547511</v>
      </c>
      <c r="G198" s="23">
        <f aca="true" t="shared" si="73" ref="G198:G204">D199*G199</f>
        <v>15898.454565535923</v>
      </c>
      <c r="H198" s="23">
        <f>H143</f>
        <v>18662</v>
      </c>
      <c r="I198" s="73">
        <f aca="true" t="shared" si="74" ref="I198:I205">1/G198+1/H198</f>
        <v>0.0001164840201602838</v>
      </c>
      <c r="J198" s="26">
        <f>I198*F198</f>
        <v>0.00015364242927232632</v>
      </c>
    </row>
    <row r="199" spans="3:10" ht="12.75">
      <c r="C199" s="3">
        <f t="shared" si="71"/>
        <v>7</v>
      </c>
      <c r="D199" s="50">
        <f aca="true" t="shared" si="75" ref="D199:E205">D144</f>
        <v>1.0169364810075625</v>
      </c>
      <c r="E199" s="22">
        <f t="shared" si="75"/>
        <v>7.88320371458801</v>
      </c>
      <c r="F199" s="22">
        <f t="shared" si="72"/>
        <v>7.622810000708977</v>
      </c>
      <c r="G199" s="23">
        <f t="shared" si="73"/>
        <v>15633.67512372456</v>
      </c>
      <c r="H199" s="23">
        <f aca="true" t="shared" si="76" ref="H199:H205">H144</f>
        <v>34777</v>
      </c>
      <c r="I199" s="73">
        <f t="shared" si="74"/>
        <v>9.271912309581569E-05</v>
      </c>
      <c r="J199" s="26">
        <f aca="true" t="shared" si="77" ref="J199:J205">I199*F199</f>
        <v>0.0007067802587917506</v>
      </c>
    </row>
    <row r="200" spans="3:10" ht="12.75">
      <c r="C200" s="3">
        <f t="shared" si="71"/>
        <v>6</v>
      </c>
      <c r="D200" s="50">
        <f t="shared" si="75"/>
        <v>1.033263553789384</v>
      </c>
      <c r="E200" s="22">
        <f t="shared" si="75"/>
        <v>1.3434254656244817</v>
      </c>
      <c r="F200" s="22">
        <f t="shared" si="72"/>
        <v>1.2583207397875493</v>
      </c>
      <c r="G200" s="23">
        <f t="shared" si="73"/>
        <v>15130.384756521918</v>
      </c>
      <c r="H200" s="23">
        <f t="shared" si="76"/>
        <v>56368</v>
      </c>
      <c r="I200" s="73">
        <f t="shared" si="74"/>
        <v>8.383273456598602E-05</v>
      </c>
      <c r="J200" s="26">
        <f t="shared" si="77"/>
        <v>0.00010548846857748479</v>
      </c>
    </row>
    <row r="201" spans="3:10" ht="12.75">
      <c r="C201" s="3">
        <f t="shared" si="71"/>
        <v>5</v>
      </c>
      <c r="D201" s="50">
        <f t="shared" si="75"/>
        <v>1.0419346379110106</v>
      </c>
      <c r="E201" s="22">
        <f t="shared" si="75"/>
        <v>40.819862685088346</v>
      </c>
      <c r="F201" s="22">
        <f t="shared" si="72"/>
        <v>37.60023745999305</v>
      </c>
      <c r="G201" s="23">
        <f t="shared" si="73"/>
        <v>14521.43369267101</v>
      </c>
      <c r="H201" s="23">
        <f t="shared" si="76"/>
        <v>80077</v>
      </c>
      <c r="I201" s="73">
        <f t="shared" si="74"/>
        <v>8.135170418835003E-05</v>
      </c>
      <c r="J201" s="26">
        <f t="shared" si="77"/>
        <v>0.0030588433952570726</v>
      </c>
    </row>
    <row r="202" spans="3:10" ht="12.75">
      <c r="C202" s="3">
        <f t="shared" si="71"/>
        <v>4</v>
      </c>
      <c r="D202" s="50">
        <f t="shared" si="75"/>
        <v>1.113384886206463</v>
      </c>
      <c r="E202" s="22">
        <f t="shared" si="75"/>
        <v>119.43905399089483</v>
      </c>
      <c r="F202" s="22">
        <f t="shared" si="72"/>
        <v>96.35088579968605</v>
      </c>
      <c r="G202" s="23">
        <f t="shared" si="73"/>
        <v>13042.599978295551</v>
      </c>
      <c r="H202" s="23">
        <f t="shared" si="76"/>
        <v>95436</v>
      </c>
      <c r="I202" s="73">
        <f t="shared" si="74"/>
        <v>8.715005560995413E-05</v>
      </c>
      <c r="J202" s="26">
        <f t="shared" si="77"/>
        <v>0.00839698505551098</v>
      </c>
    </row>
    <row r="203" spans="3:10" ht="12.75">
      <c r="C203" s="3">
        <f t="shared" si="71"/>
        <v>3</v>
      </c>
      <c r="D203" s="50">
        <f t="shared" si="75"/>
        <v>1.1716746330883747</v>
      </c>
      <c r="E203" s="22">
        <f t="shared" si="75"/>
        <v>61.229995390441616</v>
      </c>
      <c r="F203" s="22">
        <f t="shared" si="72"/>
        <v>44.601572605638054</v>
      </c>
      <c r="G203" s="23">
        <f t="shared" si="73"/>
        <v>11131.588591209007</v>
      </c>
      <c r="H203" s="23">
        <f t="shared" si="76"/>
        <v>94982</v>
      </c>
      <c r="I203" s="73">
        <f t="shared" si="74"/>
        <v>0.00010036274816566492</v>
      </c>
      <c r="J203" s="26">
        <f t="shared" si="77"/>
        <v>0.004476336399212271</v>
      </c>
    </row>
    <row r="204" spans="3:10" ht="12.75">
      <c r="C204" s="3">
        <f t="shared" si="71"/>
        <v>2</v>
      </c>
      <c r="D204" s="50">
        <f t="shared" si="75"/>
        <v>1.2708881150356526</v>
      </c>
      <c r="E204" s="22">
        <f t="shared" si="75"/>
        <v>691.4427845771144</v>
      </c>
      <c r="F204" s="22">
        <f t="shared" si="72"/>
        <v>428.0964360825357</v>
      </c>
      <c r="G204" s="23">
        <f t="shared" si="73"/>
        <v>8758.905256499884</v>
      </c>
      <c r="H204" s="23">
        <f t="shared" si="76"/>
        <v>84426</v>
      </c>
      <c r="I204" s="73">
        <f t="shared" si="74"/>
        <v>0.00012601421138178879</v>
      </c>
      <c r="J204" s="26">
        <f t="shared" si="77"/>
        <v>0.053946234788295085</v>
      </c>
    </row>
    <row r="205" spans="3:10" ht="12.75">
      <c r="C205" s="34">
        <f>C207+1</f>
        <v>1</v>
      </c>
      <c r="D205" s="18">
        <f t="shared" si="75"/>
        <v>1.6235227537534538</v>
      </c>
      <c r="E205" s="53">
        <f t="shared" si="75"/>
        <v>1108.5262861330064</v>
      </c>
      <c r="F205" s="53">
        <f t="shared" si="72"/>
        <v>420.5612322807977</v>
      </c>
      <c r="G205" s="80">
        <f>E15</f>
        <v>5395</v>
      </c>
      <c r="H205" s="80">
        <f t="shared" si="76"/>
        <v>60078</v>
      </c>
      <c r="I205" s="81">
        <f t="shared" si="74"/>
        <v>0.0002020018399929335</v>
      </c>
      <c r="J205" s="82">
        <f t="shared" si="77"/>
        <v>0.08495414275041663</v>
      </c>
    </row>
    <row r="206" spans="3:10" ht="12.75">
      <c r="C206" s="3"/>
      <c r="D206" s="50"/>
      <c r="E206" s="22"/>
      <c r="F206" s="72" t="s">
        <v>119</v>
      </c>
      <c r="G206" s="23">
        <f>G198*D198</f>
        <v>16044.984100702153</v>
      </c>
      <c r="I206" s="24" t="s">
        <v>86</v>
      </c>
      <c r="J206" s="26">
        <f>SUM(J197:J205)</f>
        <v>0.15579845354533362</v>
      </c>
    </row>
    <row r="207" spans="3:10" ht="15.75">
      <c r="C207"/>
      <c r="D207"/>
      <c r="E207"/>
      <c r="I207" s="83" t="s">
        <v>157</v>
      </c>
      <c r="J207" s="23">
        <f>J206*(G206^2)</f>
        <v>40108989.882928215</v>
      </c>
    </row>
    <row r="208" spans="3:10" ht="12.75">
      <c r="C208" s="28"/>
      <c r="D208"/>
      <c r="E208"/>
      <c r="I208" s="83" t="s">
        <v>88</v>
      </c>
      <c r="J208" s="84">
        <f>SQRT(J207)</f>
        <v>6333.165865736363</v>
      </c>
    </row>
    <row r="209" spans="7:10" ht="12.75">
      <c r="G209"/>
      <c r="I209" s="137"/>
      <c r="J209" s="23"/>
    </row>
    <row r="210" spans="9:10" ht="12.75">
      <c r="I210" s="83"/>
      <c r="J210" s="23"/>
    </row>
  </sheetData>
  <printOptions horizontalCentered="1"/>
  <pageMargins left="0.5" right="0.5" top="1.25" bottom="0.75" header="0.5" footer="0.5"/>
  <pageSetup fitToHeight="2" horizontalDpi="600" verticalDpi="600" orientation="portrait" scale="67" r:id="rId1"/>
  <headerFooter alignWithMargins="0">
    <oddHeader>&amp;C&amp;"Times New Roman,Bold"&amp;12RAA General Liability Data
1981-1989</oddHeader>
    <oddFooter>&amp;L&amp;"Arial,Regular"&amp;F
&amp;A&amp;C&amp;"Arial,Bold"&amp;11MBA Actuaries, Inc.&amp;R&amp;"Arial,Regular"&amp;D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87"/>
  <sheetViews>
    <sheetView workbookViewId="0" topLeftCell="A1">
      <selection activeCell="A1" sqref="A1"/>
    </sheetView>
  </sheetViews>
  <sheetFormatPr defaultColWidth="9.33203125" defaultRowHeight="12.75"/>
  <cols>
    <col min="1" max="1" width="15.66015625" style="38" customWidth="1"/>
    <col min="2" max="11" width="12.5" style="38" customWidth="1"/>
    <col min="12" max="12" width="19.66015625" style="38" customWidth="1"/>
    <col min="13" max="13" width="16" style="38" customWidth="1"/>
    <col min="14" max="16384" width="10.66015625" style="38" customWidth="1"/>
  </cols>
  <sheetData>
    <row r="1" spans="1:11" ht="12.75">
      <c r="A1" s="38" t="s">
        <v>44</v>
      </c>
      <c r="B1" s="38" t="s">
        <v>45</v>
      </c>
      <c r="D1" s="138" t="s">
        <v>139</v>
      </c>
      <c r="J1" s="39" t="s">
        <v>155</v>
      </c>
      <c r="K1" s="38">
        <f>K4</f>
        <v>10</v>
      </c>
    </row>
    <row r="3" ht="12.75">
      <c r="B3" s="143" t="s">
        <v>140</v>
      </c>
    </row>
    <row r="4" spans="1:11" ht="12.75">
      <c r="A4" s="143" t="s">
        <v>141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</row>
    <row r="5" spans="1:11" ht="12.75">
      <c r="A5" s="38">
        <v>1</v>
      </c>
      <c r="B5" s="40">
        <v>5012</v>
      </c>
      <c r="C5" s="40">
        <v>8269</v>
      </c>
      <c r="D5" s="40">
        <v>10907</v>
      </c>
      <c r="E5" s="40">
        <v>11805</v>
      </c>
      <c r="F5" s="40">
        <v>13539</v>
      </c>
      <c r="G5" s="40">
        <v>16181</v>
      </c>
      <c r="H5" s="40">
        <v>18009</v>
      </c>
      <c r="I5" s="40">
        <v>18608</v>
      </c>
      <c r="J5" s="40">
        <v>18662</v>
      </c>
      <c r="K5" s="40">
        <v>18834</v>
      </c>
    </row>
    <row r="6" spans="1:10" ht="12.75">
      <c r="A6" s="38">
        <v>2</v>
      </c>
      <c r="B6" s="40">
        <v>106</v>
      </c>
      <c r="C6" s="40">
        <v>4285</v>
      </c>
      <c r="D6" s="40">
        <v>5396</v>
      </c>
      <c r="E6" s="40">
        <v>10666</v>
      </c>
      <c r="F6" s="40">
        <v>13782</v>
      </c>
      <c r="G6" s="40">
        <v>15599</v>
      </c>
      <c r="H6" s="40">
        <v>15496</v>
      </c>
      <c r="I6" s="40">
        <v>16169</v>
      </c>
      <c r="J6" s="40">
        <v>16704</v>
      </c>
    </row>
    <row r="7" spans="1:9" ht="12.75">
      <c r="A7" s="38">
        <v>3</v>
      </c>
      <c r="B7" s="40">
        <v>3410</v>
      </c>
      <c r="C7" s="40">
        <v>8992</v>
      </c>
      <c r="D7" s="40">
        <v>13873</v>
      </c>
      <c r="E7" s="40">
        <v>16141</v>
      </c>
      <c r="F7" s="40">
        <v>18735</v>
      </c>
      <c r="G7" s="40">
        <v>22214</v>
      </c>
      <c r="H7" s="40">
        <v>22863</v>
      </c>
      <c r="I7" s="40">
        <v>23466</v>
      </c>
    </row>
    <row r="8" spans="1:8" ht="12.75">
      <c r="A8" s="38">
        <v>4</v>
      </c>
      <c r="B8" s="40">
        <v>5655</v>
      </c>
      <c r="C8" s="40">
        <v>11555</v>
      </c>
      <c r="D8" s="40">
        <v>15766</v>
      </c>
      <c r="E8" s="40">
        <v>21266</v>
      </c>
      <c r="F8" s="40">
        <v>23425</v>
      </c>
      <c r="G8" s="40">
        <v>26083</v>
      </c>
      <c r="H8" s="40">
        <v>27067</v>
      </c>
    </row>
    <row r="9" spans="1:7" ht="12.75">
      <c r="A9" s="38">
        <v>5</v>
      </c>
      <c r="B9" s="40">
        <v>1092</v>
      </c>
      <c r="C9" s="40">
        <v>9565</v>
      </c>
      <c r="D9" s="40">
        <v>15836</v>
      </c>
      <c r="E9" s="40">
        <v>22169</v>
      </c>
      <c r="F9" s="40">
        <v>25955</v>
      </c>
      <c r="G9" s="40">
        <v>26180</v>
      </c>
    </row>
    <row r="10" spans="1:6" ht="12.75">
      <c r="A10" s="38">
        <v>6</v>
      </c>
      <c r="B10" s="40">
        <v>1513</v>
      </c>
      <c r="C10" s="40">
        <v>6445</v>
      </c>
      <c r="D10" s="40">
        <v>11702</v>
      </c>
      <c r="E10" s="40">
        <v>12935</v>
      </c>
      <c r="F10" s="40">
        <v>15852</v>
      </c>
    </row>
    <row r="11" spans="1:5" ht="12.75">
      <c r="A11" s="38">
        <v>7</v>
      </c>
      <c r="B11" s="40">
        <v>557</v>
      </c>
      <c r="C11" s="40">
        <v>4020</v>
      </c>
      <c r="D11" s="40">
        <v>10946</v>
      </c>
      <c r="E11" s="40">
        <v>12314</v>
      </c>
    </row>
    <row r="12" spans="1:4" ht="12.75">
      <c r="A12" s="38">
        <v>8</v>
      </c>
      <c r="B12" s="40">
        <v>1351</v>
      </c>
      <c r="C12" s="40">
        <v>6947</v>
      </c>
      <c r="D12" s="40">
        <v>13112</v>
      </c>
    </row>
    <row r="13" spans="1:3" ht="12.75">
      <c r="A13" s="38">
        <v>9</v>
      </c>
      <c r="B13" s="40">
        <v>3133</v>
      </c>
      <c r="C13" s="40">
        <v>5395</v>
      </c>
    </row>
    <row r="14" spans="1:2" ht="12.75">
      <c r="A14" s="38">
        <v>10</v>
      </c>
      <c r="B14" s="40">
        <v>2063</v>
      </c>
    </row>
    <row r="15" ht="12.75">
      <c r="B15" s="40"/>
    </row>
    <row r="16" spans="2:11" ht="12.75">
      <c r="B16" s="40">
        <f>B14</f>
        <v>2063</v>
      </c>
      <c r="C16" s="40">
        <f>C13</f>
        <v>5395</v>
      </c>
      <c r="D16" s="40">
        <f>D12</f>
        <v>13112</v>
      </c>
      <c r="E16" s="40">
        <f>E11</f>
        <v>12314</v>
      </c>
      <c r="F16" s="40">
        <f>F10</f>
        <v>15852</v>
      </c>
      <c r="G16" s="40">
        <f>G9</f>
        <v>26180</v>
      </c>
      <c r="H16" s="40">
        <f>H8</f>
        <v>27067</v>
      </c>
      <c r="I16" s="40">
        <f>I7</f>
        <v>23466</v>
      </c>
      <c r="J16" s="40">
        <f>J6</f>
        <v>16704</v>
      </c>
      <c r="K16" s="40">
        <f>K5</f>
        <v>18834</v>
      </c>
    </row>
    <row r="18" spans="1:4" ht="12.75">
      <c r="A18" s="38" t="s">
        <v>46</v>
      </c>
      <c r="B18" s="38" t="s">
        <v>47</v>
      </c>
      <c r="D18" s="138" t="s">
        <v>142</v>
      </c>
    </row>
    <row r="20" spans="1:11" ht="12.75">
      <c r="A20" s="143" t="s">
        <v>21</v>
      </c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</row>
    <row r="21" spans="2:11" ht="12.75">
      <c r="B21" s="41">
        <f>SUM(C5:C13)/SUM(B5:B13)</f>
        <v>2.9993586513353794</v>
      </c>
      <c r="C21" s="41">
        <f>SUM(D5:D12)/SUM(C5:C12)</f>
        <v>1.6235227537534538</v>
      </c>
      <c r="D21" s="41">
        <f>SUM(E5:E11)/SUM(D5:D11)</f>
        <v>1.2708881150356526</v>
      </c>
      <c r="E21" s="41">
        <f>SUM(F5:F10)/SUM(E5:E10)</f>
        <v>1.1716746330883747</v>
      </c>
      <c r="F21" s="41">
        <f>SUM(G5:G9)/SUM(F5:F9)</f>
        <v>1.113384886206463</v>
      </c>
      <c r="G21" s="41">
        <f>SUM(H5:H8)/SUM(G5:G8)</f>
        <v>1.0419346379110106</v>
      </c>
      <c r="H21" s="41">
        <f>SUM(I5:I7)/SUM(H5:H7)</f>
        <v>1.033263553789384</v>
      </c>
      <c r="I21" s="41">
        <f>SUM(J5:J6)/SUM(I5:I6)</f>
        <v>1.0169364810075625</v>
      </c>
      <c r="J21" s="41">
        <f>SUM(K5)/SUM(J5)</f>
        <v>1.0092165898617511</v>
      </c>
      <c r="K21" s="41">
        <v>1</v>
      </c>
    </row>
    <row r="24" spans="1:4" ht="12.75">
      <c r="A24" s="38" t="s">
        <v>48</v>
      </c>
      <c r="B24" s="38" t="s">
        <v>49</v>
      </c>
      <c r="D24" s="138" t="s">
        <v>143</v>
      </c>
    </row>
    <row r="25" ht="12.75">
      <c r="B25" s="143" t="s">
        <v>21</v>
      </c>
    </row>
    <row r="26" spans="1:11" ht="12.75">
      <c r="A26" s="143" t="s">
        <v>144</v>
      </c>
      <c r="B26" s="38">
        <v>1</v>
      </c>
      <c r="C26" s="38">
        <v>2</v>
      </c>
      <c r="D26" s="38">
        <v>3</v>
      </c>
      <c r="E26" s="38">
        <v>4</v>
      </c>
      <c r="F26" s="38">
        <v>5</v>
      </c>
      <c r="G26" s="38">
        <v>6</v>
      </c>
      <c r="H26" s="38">
        <v>7</v>
      </c>
      <c r="I26" s="38">
        <v>8</v>
      </c>
      <c r="J26" s="38">
        <v>9</v>
      </c>
      <c r="K26" s="38">
        <v>10</v>
      </c>
    </row>
    <row r="27" spans="1:11" ht="12.75">
      <c r="A27" s="38">
        <v>1</v>
      </c>
      <c r="K27" s="42">
        <f>K16*K21</f>
        <v>18834</v>
      </c>
    </row>
    <row r="28" spans="1:11" ht="12.75">
      <c r="A28" s="38">
        <v>2</v>
      </c>
      <c r="B28" s="42"/>
      <c r="C28" s="42"/>
      <c r="D28" s="42"/>
      <c r="E28" s="42"/>
      <c r="F28" s="42"/>
      <c r="G28" s="42"/>
      <c r="H28" s="42"/>
      <c r="I28" s="42"/>
      <c r="J28" s="42"/>
      <c r="K28" s="42">
        <f>J16*J21*K21</f>
        <v>16857.95391705069</v>
      </c>
    </row>
    <row r="29" spans="1:11" ht="12.75">
      <c r="A29" s="38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>
        <f>I16*I21*J21*K21</f>
        <v>24083.37092381492</v>
      </c>
    </row>
    <row r="30" spans="1:11" ht="12.75">
      <c r="A30" s="38">
        <v>4</v>
      </c>
      <c r="B30" s="42"/>
      <c r="C30" s="42"/>
      <c r="D30" s="42"/>
      <c r="E30" s="42"/>
      <c r="F30" s="42"/>
      <c r="G30" s="42"/>
      <c r="H30" s="42"/>
      <c r="I30" s="42"/>
      <c r="J30" s="42"/>
      <c r="K30" s="42">
        <f>H16*H21*I21*J21*K21</f>
        <v>28703.142163420904</v>
      </c>
    </row>
    <row r="31" spans="1:11" ht="12.75">
      <c r="A31" s="38">
        <v>5</v>
      </c>
      <c r="B31" s="42"/>
      <c r="C31" s="42"/>
      <c r="D31" s="42"/>
      <c r="E31" s="42"/>
      <c r="F31" s="42"/>
      <c r="G31" s="42"/>
      <c r="H31" s="42"/>
      <c r="I31" s="42"/>
      <c r="J31" s="42"/>
      <c r="K31" s="42">
        <f>G16*G21*H21*I21*J21*K21</f>
        <v>28926.736343422217</v>
      </c>
    </row>
    <row r="32" spans="1:11" ht="12.75">
      <c r="A32" s="38">
        <v>6</v>
      </c>
      <c r="B32" s="42"/>
      <c r="C32" s="42"/>
      <c r="D32" s="42"/>
      <c r="E32" s="42"/>
      <c r="F32" s="42"/>
      <c r="G32" s="42"/>
      <c r="H32" s="42"/>
      <c r="I32" s="42"/>
      <c r="J32" s="42"/>
      <c r="K32" s="42">
        <f>F16*F21*G21*H21*I21*J21*K21</f>
        <v>19501.10318399638</v>
      </c>
    </row>
    <row r="33" spans="1:11" ht="12.75">
      <c r="A33" s="38">
        <v>7</v>
      </c>
      <c r="B33" s="42"/>
      <c r="C33" s="42"/>
      <c r="D33" s="42"/>
      <c r="E33" s="42"/>
      <c r="F33" s="42"/>
      <c r="G33" s="42"/>
      <c r="H33" s="42"/>
      <c r="I33" s="42"/>
      <c r="J33" s="42"/>
      <c r="K33" s="42">
        <f>E16*E21*F21*G21*H21*I21*J21*K21</f>
        <v>17749.302590295185</v>
      </c>
    </row>
    <row r="34" spans="1:11" ht="12.75">
      <c r="A34" s="38">
        <v>8</v>
      </c>
      <c r="B34" s="42"/>
      <c r="C34" s="42"/>
      <c r="D34" s="42"/>
      <c r="E34" s="42"/>
      <c r="F34" s="42"/>
      <c r="G34" s="42"/>
      <c r="H34" s="42"/>
      <c r="I34" s="42"/>
      <c r="J34" s="42"/>
      <c r="K34" s="42">
        <f>D16*D21*E21*F21*G21*H21*I21*J21*K21</f>
        <v>24019.192509507353</v>
      </c>
    </row>
    <row r="35" spans="1:11" ht="12.75">
      <c r="A35" s="38">
        <v>9</v>
      </c>
      <c r="B35" s="42"/>
      <c r="C35" s="42"/>
      <c r="D35" s="42"/>
      <c r="E35" s="42"/>
      <c r="F35" s="42"/>
      <c r="G35" s="42"/>
      <c r="H35" s="42"/>
      <c r="I35" s="42"/>
      <c r="J35" s="42"/>
      <c r="K35" s="42">
        <f>C16*C21*D21*E21*F21*G21*H21*I21*J21*K21</f>
        <v>16044.984100702153</v>
      </c>
    </row>
    <row r="36" spans="1:11" ht="12.75">
      <c r="A36" s="38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>
        <f>B16*B21*C21*D21*E21*F21*G21*H21*I21*J21*K21</f>
        <v>18402.44252900036</v>
      </c>
    </row>
    <row r="39" spans="1:4" ht="15.75">
      <c r="A39" s="38" t="s">
        <v>50</v>
      </c>
      <c r="B39" s="38" t="s">
        <v>51</v>
      </c>
      <c r="D39" s="138" t="s">
        <v>145</v>
      </c>
    </row>
    <row r="40" ht="12.75">
      <c r="B40" s="143" t="s">
        <v>21</v>
      </c>
    </row>
    <row r="41" spans="1:11" ht="12.75">
      <c r="A41" s="143" t="s">
        <v>144</v>
      </c>
      <c r="B41" s="38">
        <v>1</v>
      </c>
      <c r="C41" s="38">
        <v>2</v>
      </c>
      <c r="D41" s="38">
        <v>3</v>
      </c>
      <c r="E41" s="38">
        <v>4</v>
      </c>
      <c r="F41" s="38">
        <v>5</v>
      </c>
      <c r="G41" s="38">
        <v>6</v>
      </c>
      <c r="H41" s="38">
        <v>7</v>
      </c>
      <c r="I41" s="38">
        <v>8</v>
      </c>
      <c r="J41" s="38">
        <v>9</v>
      </c>
      <c r="K41" s="38">
        <v>10</v>
      </c>
    </row>
    <row r="42" spans="1:11" ht="12.75">
      <c r="A42" s="38">
        <v>1</v>
      </c>
      <c r="K42" s="42">
        <f>K27-K16</f>
        <v>0</v>
      </c>
    </row>
    <row r="43" spans="1:11" ht="12.75">
      <c r="A43" s="38">
        <v>2</v>
      </c>
      <c r="B43" s="42"/>
      <c r="C43" s="42"/>
      <c r="D43" s="42"/>
      <c r="E43" s="42"/>
      <c r="F43" s="42"/>
      <c r="G43" s="42"/>
      <c r="H43" s="42"/>
      <c r="I43" s="42"/>
      <c r="J43" s="42"/>
      <c r="K43" s="42">
        <f>K28-J16</f>
        <v>153.9539170506905</v>
      </c>
    </row>
    <row r="44" spans="1:11" ht="12.75">
      <c r="A44" s="38">
        <v>3</v>
      </c>
      <c r="B44" s="42"/>
      <c r="C44" s="42"/>
      <c r="D44" s="42"/>
      <c r="E44" s="42"/>
      <c r="F44" s="42"/>
      <c r="G44" s="42"/>
      <c r="H44" s="42"/>
      <c r="I44" s="42"/>
      <c r="J44" s="42"/>
      <c r="K44" s="42">
        <f>K29-I16</f>
        <v>617.3709238149204</v>
      </c>
    </row>
    <row r="45" spans="1:11" ht="12.75">
      <c r="A45" s="38">
        <v>4</v>
      </c>
      <c r="B45" s="42"/>
      <c r="C45" s="42"/>
      <c r="D45" s="42"/>
      <c r="E45" s="42"/>
      <c r="F45" s="42"/>
      <c r="G45" s="42"/>
      <c r="H45" s="42"/>
      <c r="I45" s="42"/>
      <c r="J45" s="42"/>
      <c r="K45" s="42">
        <f>K30-H16</f>
        <v>1636.1421634209037</v>
      </c>
    </row>
    <row r="46" spans="1:11" ht="12.75">
      <c r="A46" s="38">
        <v>5</v>
      </c>
      <c r="B46" s="42"/>
      <c r="C46" s="42"/>
      <c r="D46" s="42"/>
      <c r="E46" s="42"/>
      <c r="F46" s="42"/>
      <c r="G46" s="42"/>
      <c r="H46" s="42"/>
      <c r="I46" s="42"/>
      <c r="J46" s="42"/>
      <c r="K46" s="42">
        <f>K31-G16</f>
        <v>2746.736343422217</v>
      </c>
    </row>
    <row r="47" spans="1:11" ht="12.75">
      <c r="A47" s="38">
        <v>6</v>
      </c>
      <c r="B47" s="42"/>
      <c r="C47" s="42"/>
      <c r="D47" s="42"/>
      <c r="E47" s="42"/>
      <c r="F47" s="42"/>
      <c r="G47" s="42"/>
      <c r="H47" s="42"/>
      <c r="I47" s="42"/>
      <c r="J47" s="42"/>
      <c r="K47" s="42">
        <f>K32-F16</f>
        <v>3649.10318399638</v>
      </c>
    </row>
    <row r="48" spans="1:11" ht="12.75">
      <c r="A48" s="38">
        <v>7</v>
      </c>
      <c r="B48" s="42"/>
      <c r="C48" s="42"/>
      <c r="D48" s="42"/>
      <c r="E48" s="42"/>
      <c r="F48" s="42"/>
      <c r="G48" s="42"/>
      <c r="H48" s="42"/>
      <c r="I48" s="42"/>
      <c r="J48" s="42"/>
      <c r="K48" s="42">
        <f>K33-E16</f>
        <v>5435.302590295185</v>
      </c>
    </row>
    <row r="49" spans="1:11" ht="12.75">
      <c r="A49" s="38">
        <v>8</v>
      </c>
      <c r="B49" s="42"/>
      <c r="C49" s="42"/>
      <c r="D49" s="42"/>
      <c r="E49" s="42"/>
      <c r="F49" s="42"/>
      <c r="G49" s="42"/>
      <c r="H49" s="42"/>
      <c r="I49" s="42"/>
      <c r="J49" s="42"/>
      <c r="K49" s="42">
        <f>K34-D16</f>
        <v>10907.192509507353</v>
      </c>
    </row>
    <row r="50" spans="1:11" ht="12.75">
      <c r="A50" s="38">
        <v>9</v>
      </c>
      <c r="B50" s="42"/>
      <c r="C50" s="42"/>
      <c r="D50" s="42"/>
      <c r="E50" s="42"/>
      <c r="F50" s="42"/>
      <c r="G50" s="42"/>
      <c r="H50" s="42"/>
      <c r="I50" s="42"/>
      <c r="J50" s="42"/>
      <c r="K50" s="42">
        <f>K35-C16</f>
        <v>10649.984100702153</v>
      </c>
    </row>
    <row r="51" spans="1:11" ht="12.75">
      <c r="A51" s="38">
        <v>10</v>
      </c>
      <c r="B51" s="42"/>
      <c r="C51" s="42"/>
      <c r="D51" s="42"/>
      <c r="E51" s="42"/>
      <c r="F51" s="42"/>
      <c r="G51" s="42"/>
      <c r="H51" s="42"/>
      <c r="I51" s="42"/>
      <c r="J51" s="42"/>
      <c r="K51" s="42">
        <f>K36-B16</f>
        <v>16339.44252900036</v>
      </c>
    </row>
    <row r="52" ht="12.75">
      <c r="K52" s="43">
        <f>SUM(K42:K51)</f>
        <v>52135.228261210155</v>
      </c>
    </row>
    <row r="54" spans="1:4" ht="15.75">
      <c r="A54" s="38" t="s">
        <v>52</v>
      </c>
      <c r="B54" s="38" t="s">
        <v>53</v>
      </c>
      <c r="D54" s="138" t="s">
        <v>146</v>
      </c>
    </row>
    <row r="55" ht="12.75">
      <c r="B55" s="143" t="s">
        <v>21</v>
      </c>
    </row>
    <row r="56" spans="1:11" ht="12.75">
      <c r="A56" s="143" t="s">
        <v>144</v>
      </c>
      <c r="B56" s="38">
        <v>1</v>
      </c>
      <c r="C56" s="38">
        <v>2</v>
      </c>
      <c r="D56" s="38">
        <v>3</v>
      </c>
      <c r="E56" s="38">
        <v>4</v>
      </c>
      <c r="F56" s="38">
        <v>5</v>
      </c>
      <c r="G56" s="38">
        <v>6</v>
      </c>
      <c r="H56" s="38">
        <v>7</v>
      </c>
      <c r="I56" s="38">
        <v>8</v>
      </c>
      <c r="J56" s="38">
        <v>9</v>
      </c>
      <c r="K56" s="38">
        <v>10</v>
      </c>
    </row>
    <row r="57" spans="1:11" ht="12.75">
      <c r="A57" s="38">
        <v>1</v>
      </c>
      <c r="B57" s="44">
        <f aca="true" t="shared" si="0" ref="B57:J57">B5*((C5/B5)-B$21)^2</f>
        <v>9127.852176443044</v>
      </c>
      <c r="C57" s="44">
        <f t="shared" si="0"/>
        <v>766.7032300795581</v>
      </c>
      <c r="D57" s="44">
        <f t="shared" si="0"/>
        <v>387.77918790155445</v>
      </c>
      <c r="E57" s="44">
        <f t="shared" si="0"/>
        <v>7.253359142923783</v>
      </c>
      <c r="F57" s="44">
        <f t="shared" si="0"/>
        <v>90.49322835575694</v>
      </c>
      <c r="G57" s="44">
        <f t="shared" si="0"/>
        <v>81.65430019515057</v>
      </c>
      <c r="H57" s="44">
        <f t="shared" si="0"/>
        <v>1.0430186743138156E-07</v>
      </c>
      <c r="I57" s="44">
        <f t="shared" si="0"/>
        <v>3.6651672329751204</v>
      </c>
      <c r="J57" s="44">
        <f t="shared" si="0"/>
        <v>0</v>
      </c>
      <c r="K57" s="44"/>
    </row>
    <row r="58" spans="1:11" ht="12.75">
      <c r="A58" s="38">
        <v>2</v>
      </c>
      <c r="B58" s="44">
        <f aca="true" t="shared" si="1" ref="B58:I58">B6*((C6/B6)-B$21)^2</f>
        <v>148468.19227749083</v>
      </c>
      <c r="C58" s="44">
        <f t="shared" si="1"/>
        <v>568.513659627867</v>
      </c>
      <c r="D58" s="44">
        <f t="shared" si="1"/>
        <v>2687.741928117766</v>
      </c>
      <c r="E58" s="44">
        <f t="shared" si="1"/>
        <v>154.79234959746537</v>
      </c>
      <c r="F58" s="44">
        <f t="shared" si="1"/>
        <v>4.693331425541649</v>
      </c>
      <c r="G58" s="44">
        <f t="shared" si="1"/>
        <v>36.74970075997297</v>
      </c>
      <c r="H58" s="44">
        <f t="shared" si="1"/>
        <v>1.6017916237915588</v>
      </c>
      <c r="I58" s="44">
        <f t="shared" si="1"/>
        <v>4.21803648161289</v>
      </c>
      <c r="J58" s="44"/>
      <c r="K58" s="44"/>
    </row>
    <row r="59" spans="1:11" ht="12.75">
      <c r="A59" s="38">
        <v>3</v>
      </c>
      <c r="B59" s="44">
        <f aca="true" t="shared" si="2" ref="B59:H59">B7*((C7/B7)-B$21)^2</f>
        <v>447.86914181032694</v>
      </c>
      <c r="C59" s="44">
        <f t="shared" si="2"/>
        <v>58.570349872898305</v>
      </c>
      <c r="D59" s="44">
        <f t="shared" si="2"/>
        <v>160.03689499177494</v>
      </c>
      <c r="E59" s="44">
        <f t="shared" si="2"/>
        <v>1.9409633510062136</v>
      </c>
      <c r="F59" s="44">
        <f t="shared" si="2"/>
        <v>97.96128294267064</v>
      </c>
      <c r="G59" s="44">
        <f t="shared" si="2"/>
        <v>3.5935273972735735</v>
      </c>
      <c r="H59" s="44">
        <f t="shared" si="2"/>
        <v>1.0850592031555373</v>
      </c>
      <c r="I59" s="44"/>
      <c r="J59" s="44"/>
      <c r="K59" s="44"/>
    </row>
    <row r="60" spans="1:11" ht="12.75">
      <c r="A60" s="38">
        <v>4</v>
      </c>
      <c r="B60" s="44">
        <f aca="true" t="shared" si="3" ref="B60:G60">B8*((C8/B8)-B$21)^2</f>
        <v>5168.677433951353</v>
      </c>
      <c r="C60" s="44">
        <f t="shared" si="3"/>
        <v>775.6703496800542</v>
      </c>
      <c r="D60" s="44">
        <f t="shared" si="3"/>
        <v>95.83144123147518</v>
      </c>
      <c r="E60" s="44">
        <f t="shared" si="3"/>
        <v>104.65366997975588</v>
      </c>
      <c r="F60" s="44">
        <f t="shared" si="3"/>
        <v>0.00016383522415154973</v>
      </c>
      <c r="G60" s="44">
        <f t="shared" si="3"/>
        <v>0.462059702867925</v>
      </c>
      <c r="H60" s="44"/>
      <c r="I60" s="44"/>
      <c r="J60" s="44"/>
      <c r="K60" s="44"/>
    </row>
    <row r="61" spans="1:11" ht="12.75">
      <c r="A61" s="38">
        <v>5</v>
      </c>
      <c r="B61" s="44">
        <f>B9*((C9/B9)-B$21)^2</f>
        <v>36227.40890776547</v>
      </c>
      <c r="C61" s="44">
        <f>C9*((D9/C9)-C$21)^2</f>
        <v>9.853840489014834</v>
      </c>
      <c r="D61" s="44">
        <f>D9*((E9/D9)-D$21)^2</f>
        <v>263.6228117858743</v>
      </c>
      <c r="E61" s="44">
        <f>E9*((F9/E9)-E$21)^2</f>
        <v>0.01778242949971224</v>
      </c>
      <c r="F61" s="44">
        <f>F9*((G9/F9)-F$21)^2</f>
        <v>284.60820940438595</v>
      </c>
      <c r="G61" s="44"/>
      <c r="H61" s="44"/>
      <c r="I61" s="44"/>
      <c r="J61" s="44"/>
      <c r="K61" s="44"/>
    </row>
    <row r="62" spans="1:11" ht="12.75">
      <c r="A62" s="38">
        <v>6</v>
      </c>
      <c r="B62" s="44">
        <f>B10*((C10/B10)-B$21)^2</f>
        <v>2403.526738888488</v>
      </c>
      <c r="C62" s="44">
        <f>C10*((D10/C10)-C$21)^2</f>
        <v>237.95566895219744</v>
      </c>
      <c r="D62" s="44">
        <f>D10*((E10/D10)-D$21)^2</f>
        <v>320.60403094552936</v>
      </c>
      <c r="E62" s="44">
        <f>E10*((F10/E10)-E$21)^2</f>
        <v>37.491852451557044</v>
      </c>
      <c r="F62" s="44"/>
      <c r="G62" s="44"/>
      <c r="H62" s="44"/>
      <c r="I62" s="44"/>
      <c r="J62" s="44"/>
      <c r="K62" s="44"/>
    </row>
    <row r="63" spans="1:11" ht="12.75">
      <c r="A63" s="38">
        <v>7</v>
      </c>
      <c r="B63" s="44">
        <f>B11*((C11/B11)-B$21)^2</f>
        <v>9909.298742945839</v>
      </c>
      <c r="C63" s="44">
        <f>C11*((D11/C11)-C$21)^2</f>
        <v>4858.566397926098</v>
      </c>
      <c r="D63" s="44">
        <f>D11*((E11/D11)-D$21)^2</f>
        <v>233.04041248871235</v>
      </c>
      <c r="E63" s="44"/>
      <c r="F63" s="44"/>
      <c r="G63" s="44"/>
      <c r="H63" s="44"/>
      <c r="I63" s="44"/>
      <c r="J63" s="44"/>
      <c r="K63" s="44"/>
    </row>
    <row r="64" spans="1:11" ht="12.75">
      <c r="A64" s="38">
        <v>8</v>
      </c>
      <c r="B64" s="44">
        <f>B12*((C12/B12)-B$21)^2</f>
        <v>6202.999136253263</v>
      </c>
      <c r="C64" s="44">
        <f>C12*((D12/C12)-C$21)^2</f>
        <v>483.8505063033556</v>
      </c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38">
        <v>9</v>
      </c>
      <c r="B65" s="44">
        <f>B13*((C13/B13)-B$21)^2</f>
        <v>5112.010596800452</v>
      </c>
      <c r="C65" s="44"/>
      <c r="D65" s="44"/>
      <c r="E65" s="44"/>
      <c r="F65" s="44"/>
      <c r="G65" s="44"/>
      <c r="H65" s="44"/>
      <c r="I65" s="44"/>
      <c r="J65" s="44"/>
      <c r="K65" s="44"/>
    </row>
    <row r="67" spans="1:11" ht="15.75">
      <c r="A67" s="138" t="s">
        <v>146</v>
      </c>
      <c r="B67" s="45">
        <f>SUM(B57:B65)/($K$1-B56-1)</f>
        <v>27883.479394043632</v>
      </c>
      <c r="C67" s="45">
        <f aca="true" t="shared" si="4" ref="C67:I67">SUM(C57:C65)/($K$1-C56-1)</f>
        <v>1108.5262861330064</v>
      </c>
      <c r="D67" s="45">
        <f t="shared" si="4"/>
        <v>691.4427845771144</v>
      </c>
      <c r="E67" s="45">
        <f t="shared" si="4"/>
        <v>61.229995390441616</v>
      </c>
      <c r="F67" s="45">
        <f t="shared" si="4"/>
        <v>119.43905399089483</v>
      </c>
      <c r="G67" s="45">
        <f t="shared" si="4"/>
        <v>40.819862685088346</v>
      </c>
      <c r="H67" s="45">
        <f t="shared" si="4"/>
        <v>1.3434254656244817</v>
      </c>
      <c r="I67" s="45">
        <f t="shared" si="4"/>
        <v>7.88320371458801</v>
      </c>
      <c r="J67" s="45">
        <f>MIN(I67^2/H67,MIN(H67,I67))</f>
        <v>1.3434254656244817</v>
      </c>
      <c r="K67" s="45"/>
    </row>
    <row r="68" spans="2:11" ht="12.75"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2:11" ht="12.75"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75">
      <c r="A70" s="38" t="s">
        <v>54</v>
      </c>
      <c r="B70" s="45" t="s">
        <v>120</v>
      </c>
      <c r="C70" s="45"/>
      <c r="D70" s="129" t="s">
        <v>147</v>
      </c>
      <c r="E70" s="45"/>
      <c r="F70" s="45"/>
      <c r="G70" s="45"/>
      <c r="H70" s="45"/>
      <c r="I70" s="45"/>
      <c r="J70" s="45"/>
      <c r="K70" s="45"/>
    </row>
    <row r="71" ht="12.75">
      <c r="B71" s="143" t="s">
        <v>21</v>
      </c>
    </row>
    <row r="72" spans="1:11" ht="12.75">
      <c r="A72" s="143" t="s">
        <v>144</v>
      </c>
      <c r="B72" s="38">
        <v>1</v>
      </c>
      <c r="C72" s="38">
        <v>2</v>
      </c>
      <c r="D72" s="38">
        <v>3</v>
      </c>
      <c r="E72" s="38">
        <v>4</v>
      </c>
      <c r="F72" s="38">
        <v>5</v>
      </c>
      <c r="G72" s="38">
        <v>6</v>
      </c>
      <c r="H72" s="38">
        <v>7</v>
      </c>
      <c r="I72" s="38">
        <v>8</v>
      </c>
      <c r="J72" s="38">
        <v>9</v>
      </c>
      <c r="K72" s="38">
        <v>10</v>
      </c>
    </row>
    <row r="73" spans="1:11" ht="12.75">
      <c r="A73" s="38">
        <v>1</v>
      </c>
      <c r="K73" s="45"/>
    </row>
    <row r="74" spans="1:11" ht="12.75">
      <c r="A74" s="38">
        <v>2</v>
      </c>
      <c r="B74" s="46"/>
      <c r="C74" s="46"/>
      <c r="D74" s="46"/>
      <c r="E74" s="46"/>
      <c r="F74" s="46"/>
      <c r="G74" s="46"/>
      <c r="H74" s="46"/>
      <c r="I74" s="46"/>
      <c r="K74" s="46"/>
    </row>
    <row r="75" spans="1:11" ht="12.75">
      <c r="A75" s="38">
        <v>3</v>
      </c>
      <c r="B75" s="46"/>
      <c r="C75" s="46"/>
      <c r="D75" s="46"/>
      <c r="E75" s="46"/>
      <c r="F75" s="46"/>
      <c r="G75" s="46"/>
      <c r="H75" s="46"/>
      <c r="I75" s="46"/>
      <c r="K75" s="46"/>
    </row>
    <row r="76" spans="1:11" ht="12.75">
      <c r="A76" s="38">
        <v>4</v>
      </c>
      <c r="B76" s="46"/>
      <c r="C76" s="46"/>
      <c r="D76" s="46"/>
      <c r="E76" s="46"/>
      <c r="F76" s="46"/>
      <c r="G76" s="46"/>
      <c r="H76" s="46"/>
      <c r="I76" s="46"/>
      <c r="K76" s="46"/>
    </row>
    <row r="77" spans="1:11" ht="12.75">
      <c r="A77" s="38">
        <v>5</v>
      </c>
      <c r="B77" s="46"/>
      <c r="C77" s="46"/>
      <c r="D77" s="46"/>
      <c r="E77" s="46"/>
      <c r="F77" s="46"/>
      <c r="G77" s="46"/>
      <c r="H77" s="46"/>
      <c r="I77" s="46"/>
      <c r="K77" s="46"/>
    </row>
    <row r="78" spans="1:11" ht="12.75">
      <c r="A78" s="38">
        <v>6</v>
      </c>
      <c r="B78" s="46"/>
      <c r="C78" s="46"/>
      <c r="D78" s="46"/>
      <c r="E78" s="46"/>
      <c r="F78" s="46"/>
      <c r="G78" s="46"/>
      <c r="H78" s="46"/>
      <c r="I78" s="46"/>
      <c r="K78" s="46"/>
    </row>
    <row r="79" spans="1:11" ht="12.75">
      <c r="A79" s="38">
        <v>7</v>
      </c>
      <c r="B79" s="46"/>
      <c r="C79" s="46"/>
      <c r="D79" s="46"/>
      <c r="E79" s="46"/>
      <c r="F79" s="46"/>
      <c r="G79" s="46"/>
      <c r="H79" s="46"/>
      <c r="I79" s="46"/>
      <c r="K79" s="46"/>
    </row>
    <row r="80" spans="1:11" ht="12.75">
      <c r="A80" s="38">
        <v>8</v>
      </c>
      <c r="B80" s="46"/>
      <c r="C80" s="46"/>
      <c r="D80" s="46"/>
      <c r="E80" s="46"/>
      <c r="F80" s="46"/>
      <c r="G80" s="46"/>
      <c r="H80" s="46"/>
      <c r="I80" s="46"/>
      <c r="K80" s="46"/>
    </row>
    <row r="81" spans="1:11" ht="12.75">
      <c r="A81" s="38">
        <v>9</v>
      </c>
      <c r="B81" s="46"/>
      <c r="C81" s="46"/>
      <c r="D81" s="46"/>
      <c r="E81" s="46"/>
      <c r="F81" s="46"/>
      <c r="G81" s="46"/>
      <c r="H81" s="46"/>
      <c r="I81" s="46"/>
      <c r="K81" s="46"/>
    </row>
    <row r="82" spans="1:11" ht="12.75">
      <c r="A82" s="38">
        <v>10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12.75">
      <c r="B83" s="42">
        <f>SUM(B5:B13)</f>
        <v>21829</v>
      </c>
      <c r="C83" s="42">
        <f>SUM(C5:C12)</f>
        <v>60078</v>
      </c>
      <c r="D83" s="42">
        <f>SUM(D5:D11)</f>
        <v>84426</v>
      </c>
      <c r="E83" s="42">
        <f>SUM(E5:E10)</f>
        <v>94982</v>
      </c>
      <c r="F83" s="42">
        <f>SUM(F5:F9)</f>
        <v>95436</v>
      </c>
      <c r="G83" s="42">
        <f>SUM(G5:G8)</f>
        <v>80077</v>
      </c>
      <c r="H83" s="42">
        <f>SUM(H5:H7)</f>
        <v>56368</v>
      </c>
      <c r="I83" s="42">
        <f>SUM(I5:I6)</f>
        <v>34777</v>
      </c>
      <c r="J83" s="42">
        <f>SUM(J5:J5)</f>
        <v>18662</v>
      </c>
      <c r="K83" s="45"/>
    </row>
    <row r="84" spans="2:11" ht="12.75"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2" ht="12.75">
      <c r="A85" s="38" t="s">
        <v>55</v>
      </c>
      <c r="B85" s="45" t="s">
        <v>56</v>
      </c>
      <c r="C85" s="45"/>
      <c r="D85" s="138" t="s">
        <v>148</v>
      </c>
      <c r="E85" s="45"/>
      <c r="F85" s="45"/>
      <c r="G85" s="45"/>
      <c r="H85" s="45"/>
      <c r="I85" s="45"/>
      <c r="J85" s="45"/>
      <c r="K85" s="45"/>
      <c r="L85" s="138" t="s">
        <v>149</v>
      </c>
    </row>
    <row r="86" ht="12.75">
      <c r="B86" s="143" t="s">
        <v>21</v>
      </c>
    </row>
    <row r="87" spans="1:11" ht="12.75">
      <c r="A87" s="143" t="s">
        <v>144</v>
      </c>
      <c r="B87" s="38">
        <v>1</v>
      </c>
      <c r="C87" s="38">
        <v>2</v>
      </c>
      <c r="D87" s="38">
        <v>3</v>
      </c>
      <c r="E87" s="38">
        <v>4</v>
      </c>
      <c r="F87" s="38">
        <v>5</v>
      </c>
      <c r="G87" s="38">
        <v>6</v>
      </c>
      <c r="H87" s="38">
        <v>7</v>
      </c>
      <c r="I87" s="38">
        <v>8</v>
      </c>
      <c r="J87" s="38">
        <v>9</v>
      </c>
      <c r="K87" s="38">
        <v>10</v>
      </c>
    </row>
    <row r="88" spans="1:12" ht="12.75">
      <c r="A88" s="38">
        <v>1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2">
        <f>K5*K$21</f>
        <v>18834</v>
      </c>
    </row>
    <row r="89" spans="1:12" ht="12.75">
      <c r="A89" s="38">
        <v>2</v>
      </c>
      <c r="B89" s="45"/>
      <c r="C89" s="45"/>
      <c r="D89" s="45"/>
      <c r="E89" s="45"/>
      <c r="F89" s="45"/>
      <c r="G89" s="45"/>
      <c r="H89" s="45"/>
      <c r="I89" s="45"/>
      <c r="J89" s="43">
        <f>J6</f>
        <v>16704</v>
      </c>
      <c r="K89" s="42">
        <f aca="true" t="shared" si="5" ref="K89:L97">J89*J$21</f>
        <v>16857.95391705069</v>
      </c>
      <c r="L89" s="42">
        <f t="shared" si="5"/>
        <v>16857.95391705069</v>
      </c>
    </row>
    <row r="90" spans="1:12" ht="12.75">
      <c r="A90" s="38">
        <v>3</v>
      </c>
      <c r="B90" s="45"/>
      <c r="C90" s="45"/>
      <c r="D90" s="45"/>
      <c r="E90" s="45"/>
      <c r="F90" s="45"/>
      <c r="G90" s="45"/>
      <c r="H90" s="45"/>
      <c r="I90" s="43">
        <f>I7</f>
        <v>23466</v>
      </c>
      <c r="J90" s="42">
        <f aca="true" t="shared" si="6" ref="J90:J97">I90*I$21</f>
        <v>23863.43146332346</v>
      </c>
      <c r="K90" s="42">
        <f t="shared" si="5"/>
        <v>24083.37092381492</v>
      </c>
      <c r="L90" s="42">
        <f t="shared" si="5"/>
        <v>24083.37092381492</v>
      </c>
    </row>
    <row r="91" spans="1:12" ht="12.75">
      <c r="A91" s="38">
        <v>4</v>
      </c>
      <c r="B91" s="45"/>
      <c r="C91" s="45"/>
      <c r="D91" s="45"/>
      <c r="E91" s="45"/>
      <c r="F91" s="45"/>
      <c r="G91" s="45"/>
      <c r="H91" s="43">
        <f>H8</f>
        <v>27067</v>
      </c>
      <c r="I91" s="42">
        <f aca="true" t="shared" si="7" ref="I91:I97">H91*H$21</f>
        <v>27967.344610417254</v>
      </c>
      <c r="J91" s="42">
        <f t="shared" si="6"/>
        <v>28441.013011243544</v>
      </c>
      <c r="K91" s="42">
        <f t="shared" si="5"/>
        <v>28703.142163420904</v>
      </c>
      <c r="L91" s="42">
        <f t="shared" si="5"/>
        <v>28703.142163420904</v>
      </c>
    </row>
    <row r="92" spans="1:12" ht="12.75">
      <c r="A92" s="38">
        <v>5</v>
      </c>
      <c r="B92" s="45"/>
      <c r="C92" s="45"/>
      <c r="D92" s="45"/>
      <c r="E92" s="45"/>
      <c r="F92" s="45"/>
      <c r="G92" s="43">
        <f>G9</f>
        <v>26180</v>
      </c>
      <c r="H92" s="42">
        <f aca="true" t="shared" si="8" ref="H92:H97">G92*G$21</f>
        <v>27277.84882051026</v>
      </c>
      <c r="I92" s="42">
        <f t="shared" si="7"/>
        <v>28185.207012009985</v>
      </c>
      <c r="J92" s="42">
        <f t="shared" si="6"/>
        <v>28662.56523526311</v>
      </c>
      <c r="K92" s="42">
        <f t="shared" si="5"/>
        <v>28926.736343422217</v>
      </c>
      <c r="L92" s="42">
        <f t="shared" si="5"/>
        <v>28926.736343422217</v>
      </c>
    </row>
    <row r="93" spans="1:12" ht="12.75">
      <c r="A93" s="38">
        <v>6</v>
      </c>
      <c r="B93" s="45"/>
      <c r="C93" s="45"/>
      <c r="D93" s="45"/>
      <c r="E93" s="45"/>
      <c r="F93" s="43">
        <f>F10</f>
        <v>15852</v>
      </c>
      <c r="G93" s="42">
        <f>F93*F$21</f>
        <v>17649.37721614485</v>
      </c>
      <c r="H93" s="42">
        <f t="shared" si="8"/>
        <v>18389.497459058726</v>
      </c>
      <c r="I93" s="42">
        <f t="shared" si="7"/>
        <v>19001.197496947865</v>
      </c>
      <c r="J93" s="42">
        <f t="shared" si="6"/>
        <v>19323.010917475865</v>
      </c>
      <c r="K93" s="42">
        <f t="shared" si="5"/>
        <v>19501.10318399638</v>
      </c>
      <c r="L93" s="42">
        <f t="shared" si="5"/>
        <v>19501.10318399638</v>
      </c>
    </row>
    <row r="94" spans="1:12" ht="12.75">
      <c r="A94" s="38">
        <v>7</v>
      </c>
      <c r="B94" s="45"/>
      <c r="C94" s="45"/>
      <c r="D94" s="45"/>
      <c r="E94" s="43">
        <f>E11</f>
        <v>12314</v>
      </c>
      <c r="F94" s="42">
        <f>E94*E$21</f>
        <v>14428.001431850247</v>
      </c>
      <c r="G94" s="42">
        <f>F94*F$21</f>
        <v>16063.918732387274</v>
      </c>
      <c r="H94" s="42">
        <f t="shared" si="8"/>
        <v>16737.553347861834</v>
      </c>
      <c r="I94" s="42">
        <f t="shared" si="7"/>
        <v>17294.30385395112</v>
      </c>
      <c r="J94" s="42">
        <f t="shared" si="6"/>
        <v>17587.20850271258</v>
      </c>
      <c r="K94" s="42">
        <f t="shared" si="5"/>
        <v>17749.302590295185</v>
      </c>
      <c r="L94" s="42">
        <f t="shared" si="5"/>
        <v>17749.302590295185</v>
      </c>
    </row>
    <row r="95" spans="1:12" ht="12.75">
      <c r="A95" s="38">
        <v>8</v>
      </c>
      <c r="B95" s="45"/>
      <c r="C95" s="45"/>
      <c r="D95" s="43">
        <f>D12</f>
        <v>13112</v>
      </c>
      <c r="E95" s="42">
        <f>D95*D$21</f>
        <v>16663.884964347475</v>
      </c>
      <c r="F95" s="42">
        <f>E95*E$21</f>
        <v>19524.651301428712</v>
      </c>
      <c r="G95" s="42">
        <f>F95*F$21</f>
        <v>21738.451667462075</v>
      </c>
      <c r="H95" s="42">
        <f t="shared" si="8"/>
        <v>22650.0457668831</v>
      </c>
      <c r="I95" s="42">
        <f t="shared" si="7"/>
        <v>23403.466782581825</v>
      </c>
      <c r="J95" s="42">
        <f t="shared" si="6"/>
        <v>23799.839153256144</v>
      </c>
      <c r="K95" s="42">
        <f t="shared" si="5"/>
        <v>24019.192509507353</v>
      </c>
      <c r="L95" s="42">
        <f t="shared" si="5"/>
        <v>24019.192509507353</v>
      </c>
    </row>
    <row r="96" spans="1:12" ht="12.75">
      <c r="A96" s="38">
        <v>9</v>
      </c>
      <c r="B96" s="45"/>
      <c r="C96" s="43">
        <f>C13</f>
        <v>5395</v>
      </c>
      <c r="D96" s="42">
        <f>C96*C$21</f>
        <v>8758.905256499884</v>
      </c>
      <c r="E96" s="42">
        <f>D96*D$21</f>
        <v>11131.588591209007</v>
      </c>
      <c r="F96" s="42">
        <f>E96*E$21</f>
        <v>13042.599978295551</v>
      </c>
      <c r="G96" s="42">
        <f>F96*F$21</f>
        <v>14521.43369267101</v>
      </c>
      <c r="H96" s="42">
        <f t="shared" si="8"/>
        <v>15130.384756521918</v>
      </c>
      <c r="I96" s="42">
        <f t="shared" si="7"/>
        <v>15633.67512372456</v>
      </c>
      <c r="J96" s="42">
        <f t="shared" si="6"/>
        <v>15898.454565535923</v>
      </c>
      <c r="K96" s="42">
        <f t="shared" si="5"/>
        <v>16044.984100702153</v>
      </c>
      <c r="L96" s="42">
        <f t="shared" si="5"/>
        <v>16044.984100702153</v>
      </c>
    </row>
    <row r="97" spans="1:12" ht="12.75">
      <c r="A97" s="38">
        <v>10</v>
      </c>
      <c r="B97" s="43">
        <f>B14</f>
        <v>2063</v>
      </c>
      <c r="C97" s="42">
        <f>B97*B$21</f>
        <v>6187.676897704888</v>
      </c>
      <c r="D97" s="42">
        <f>C97*C$21</f>
        <v>10045.834236298468</v>
      </c>
      <c r="E97" s="42">
        <f>D97*D$21</f>
        <v>12767.131336529985</v>
      </c>
      <c r="F97" s="42">
        <f>E97*E$21</f>
        <v>14958.92392431986</v>
      </c>
      <c r="G97" s="42">
        <f>F97*F$21</f>
        <v>16655.039811250004</v>
      </c>
      <c r="H97" s="42">
        <f t="shared" si="8"/>
        <v>17353.46287512824</v>
      </c>
      <c r="I97" s="42">
        <f t="shared" si="7"/>
        <v>17930.700720907145</v>
      </c>
      <c r="J97" s="42">
        <f t="shared" si="6"/>
        <v>18234.383693119078</v>
      </c>
      <c r="K97" s="42">
        <f t="shared" si="5"/>
        <v>18402.44252900036</v>
      </c>
      <c r="L97" s="42">
        <f t="shared" si="5"/>
        <v>18402.44252900036</v>
      </c>
    </row>
    <row r="100" spans="1:12" ht="15.75">
      <c r="A100" s="38" t="s">
        <v>57</v>
      </c>
      <c r="B100" s="38" t="s">
        <v>58</v>
      </c>
      <c r="D100" s="138" t="s">
        <v>150</v>
      </c>
      <c r="L100" s="138" t="s">
        <v>151</v>
      </c>
    </row>
    <row r="101" ht="12.75">
      <c r="B101" s="143" t="s">
        <v>21</v>
      </c>
    </row>
    <row r="102" spans="1:11" ht="12.75">
      <c r="A102" s="143" t="s">
        <v>144</v>
      </c>
      <c r="B102" s="38">
        <v>1</v>
      </c>
      <c r="C102" s="38">
        <v>2</v>
      </c>
      <c r="D102" s="38">
        <v>3</v>
      </c>
      <c r="E102" s="38">
        <v>4</v>
      </c>
      <c r="F102" s="38">
        <v>5</v>
      </c>
      <c r="G102" s="38">
        <v>6</v>
      </c>
      <c r="H102" s="38">
        <v>7</v>
      </c>
      <c r="I102" s="38">
        <v>8</v>
      </c>
      <c r="J102" s="38">
        <v>9</v>
      </c>
      <c r="K102" s="38">
        <v>10</v>
      </c>
    </row>
    <row r="103" spans="1:2" ht="12.75">
      <c r="A103" s="38">
        <v>1</v>
      </c>
      <c r="B103" s="40"/>
    </row>
    <row r="104" spans="1:13" ht="12.75">
      <c r="A104" s="38">
        <v>2</v>
      </c>
      <c r="J104" s="38">
        <f aca="true" t="shared" si="9" ref="J104:J111">(J$67/(J$21^2))*((1/J89)+(1/J$83))</f>
        <v>0.00014964151299398678</v>
      </c>
      <c r="L104" s="42">
        <f aca="true" t="shared" si="10" ref="L104:L112">SQRT(K28^2*SUM(B104:J104))</f>
        <v>206.220059401112</v>
      </c>
      <c r="M104" s="47"/>
    </row>
    <row r="105" spans="1:13" ht="12.75">
      <c r="A105" s="38">
        <v>3</v>
      </c>
      <c r="I105" s="38">
        <f aca="true" t="shared" si="11" ref="I105:I112">(I$67/(I$21^2))*((1/I90)+(1/I$83))</f>
        <v>0.0005440360140775194</v>
      </c>
      <c r="J105" s="38">
        <f t="shared" si="9"/>
        <v>0.00012595124490012247</v>
      </c>
      <c r="L105" s="42">
        <f t="shared" si="10"/>
        <v>623.376672631965</v>
      </c>
      <c r="M105" s="47"/>
    </row>
    <row r="106" spans="1:13" ht="12.75">
      <c r="A106" s="38">
        <v>4</v>
      </c>
      <c r="H106" s="38">
        <f aca="true" t="shared" si="12" ref="H106:H112">(H$67/(H$21^2))*((1/H91)+(1/H$83))</f>
        <v>6.881242710499885E-05</v>
      </c>
      <c r="I106" s="38">
        <f t="shared" si="11"/>
        <v>0.0004917522245678944</v>
      </c>
      <c r="J106" s="38">
        <f t="shared" si="9"/>
        <v>0.00011705507743484113</v>
      </c>
      <c r="L106" s="42">
        <f t="shared" si="10"/>
        <v>747.1752250814905</v>
      </c>
      <c r="M106" s="47"/>
    </row>
    <row r="107" spans="1:13" ht="12.75">
      <c r="A107" s="38">
        <v>5</v>
      </c>
      <c r="G107" s="38">
        <f aca="true" t="shared" si="13" ref="G107:G112">(G$67/(G$21^2))*((1/G92)+(1/G$83))</f>
        <v>0.0019057709436459242</v>
      </c>
      <c r="H107" s="38">
        <f t="shared" si="12"/>
        <v>6.845308153966364E-05</v>
      </c>
      <c r="I107" s="38">
        <f t="shared" si="11"/>
        <v>0.0004896454167604309</v>
      </c>
      <c r="J107" s="38">
        <f t="shared" si="9"/>
        <v>0.00011669660083534163</v>
      </c>
      <c r="L107" s="42">
        <f t="shared" si="10"/>
        <v>1469.4571495894306</v>
      </c>
      <c r="M107" s="47"/>
    </row>
    <row r="108" spans="1:13" ht="12.75">
      <c r="A108" s="38">
        <v>6</v>
      </c>
      <c r="F108" s="38">
        <f>(F$67/(F$21^2))*((1/F93)+(1/F$83))</f>
        <v>0.007087739660721606</v>
      </c>
      <c r="G108" s="38">
        <f t="shared" si="13"/>
        <v>0.0025999512655504493</v>
      </c>
      <c r="H108" s="38">
        <f t="shared" si="12"/>
        <v>9.074937077964221E-05</v>
      </c>
      <c r="I108" s="38">
        <f t="shared" si="11"/>
        <v>0.000620366373910503</v>
      </c>
      <c r="J108" s="38">
        <f t="shared" si="9"/>
        <v>0.00013893897341269321</v>
      </c>
      <c r="L108" s="42">
        <f t="shared" si="10"/>
        <v>2001.856930931855</v>
      </c>
      <c r="M108" s="47"/>
    </row>
    <row r="109" spans="1:13" ht="12.75">
      <c r="A109" s="38">
        <v>7</v>
      </c>
      <c r="E109" s="38">
        <f>(E$67/(E$21^2))*((1/E94)+(1/E$83))</f>
        <v>0.004091600699052586</v>
      </c>
      <c r="F109" s="38">
        <f>(F$67/(F$21^2))*((1/F94)+(1/F$83))</f>
        <v>0.007687634359170166</v>
      </c>
      <c r="G109" s="38">
        <f t="shared" si="13"/>
        <v>0.0028102150991040206</v>
      </c>
      <c r="H109" s="38">
        <f t="shared" si="12"/>
        <v>9.750280803749336E-05</v>
      </c>
      <c r="I109" s="38">
        <f t="shared" si="11"/>
        <v>0.0006599611142234482</v>
      </c>
      <c r="J109" s="38">
        <f t="shared" si="9"/>
        <v>0.00014567607957641994</v>
      </c>
      <c r="L109" s="42">
        <f t="shared" si="10"/>
        <v>2209.2420936420785</v>
      </c>
      <c r="M109" s="47"/>
    </row>
    <row r="110" spans="1:13" ht="12.75">
      <c r="A110" s="38">
        <v>8</v>
      </c>
      <c r="D110" s="38">
        <f>(D$67/(D$21^2))*((1/D95)+(1/D$83))</f>
        <v>0.03771988018538842</v>
      </c>
      <c r="E110" s="38">
        <f>(E$67/(E$21^2))*((1/E95)+(1/E$83))</f>
        <v>0.0031461202876267177</v>
      </c>
      <c r="F110" s="38">
        <f>(F$67/(F$21^2))*((1/F95)+(1/F$83))</f>
        <v>0.005944418983151844</v>
      </c>
      <c r="G110" s="38">
        <f t="shared" si="13"/>
        <v>0.0021992159543890045</v>
      </c>
      <c r="H110" s="38">
        <f t="shared" si="12"/>
        <v>7.787820442071269E-05</v>
      </c>
      <c r="I110" s="38">
        <f t="shared" si="11"/>
        <v>0.0005449039878619674</v>
      </c>
      <c r="J110" s="38">
        <f t="shared" si="9"/>
        <v>0.00012609893197893491</v>
      </c>
      <c r="L110" s="42">
        <f t="shared" si="10"/>
        <v>5357.869297697076</v>
      </c>
      <c r="M110" s="47"/>
    </row>
    <row r="111" spans="1:13" ht="12.75">
      <c r="A111" s="38">
        <v>9</v>
      </c>
      <c r="C111" s="38">
        <f>(C$67/(C$21^2))*((1/C96)+(1/C$83))</f>
        <v>0.08495414275041663</v>
      </c>
      <c r="D111" s="38">
        <f>(D$67/(D$21^2))*((1/D96)+(1/D$83))</f>
        <v>0.053946234788295085</v>
      </c>
      <c r="E111" s="38">
        <f>(E$67/(E$21^2))*((1/E96)+(1/E$83))</f>
        <v>0.004476336399212271</v>
      </c>
      <c r="F111" s="38">
        <f>(F$67/(F$21^2))*((1/F96)+(1/F$83))</f>
        <v>0.00839698505551098</v>
      </c>
      <c r="G111" s="38">
        <f t="shared" si="13"/>
        <v>0.0030588433952570726</v>
      </c>
      <c r="H111" s="38">
        <f t="shared" si="12"/>
        <v>0.00010548846857748479</v>
      </c>
      <c r="I111" s="38">
        <f t="shared" si="11"/>
        <v>0.0007067802587917506</v>
      </c>
      <c r="J111" s="38">
        <f t="shared" si="9"/>
        <v>0.00015364242927232632</v>
      </c>
      <c r="L111" s="42">
        <f t="shared" si="10"/>
        <v>6333.165865736363</v>
      </c>
      <c r="M111" s="47"/>
    </row>
    <row r="112" spans="1:13" ht="12.75">
      <c r="A112" s="38">
        <v>10</v>
      </c>
      <c r="B112" s="38">
        <f>(B$67/(B$21^2))*((1/B97)+(1/B$83))</f>
        <v>1.6444080821275886</v>
      </c>
      <c r="C112" s="38">
        <f>(C$67/(C$21^2))*((1/C97)+(1/C$83))</f>
        <v>0.0749678024673805</v>
      </c>
      <c r="D112" s="38">
        <f>(D$67/(D$21^2))*((1/D97)+(1/D$83))</f>
        <v>0.047684994708248406</v>
      </c>
      <c r="E112" s="38">
        <f>(E$67/(E$21^2))*((1/E97)+(1/E$83))</f>
        <v>0.003963047824125212</v>
      </c>
      <c r="F112" s="38">
        <f>(F$67/(F$21^2))*((1/F97)+(1/F$83))</f>
        <v>0.007450616917564154</v>
      </c>
      <c r="G112" s="38">
        <f t="shared" si="13"/>
        <v>0.002727140192757914</v>
      </c>
      <c r="H112" s="38">
        <f t="shared" si="12"/>
        <v>9.483453571396349E-05</v>
      </c>
      <c r="I112" s="38">
        <f t="shared" si="11"/>
        <v>0.0006443172952760578</v>
      </c>
      <c r="J112" s="38">
        <f>(J$67/(J$21^2))*((1/J97)+(1/J$83))</f>
        <v>0.0001430142596422144</v>
      </c>
      <c r="L112" s="42">
        <f t="shared" si="10"/>
        <v>24566.287910989606</v>
      </c>
      <c r="M112" s="47"/>
    </row>
    <row r="115" spans="1:12" ht="12.75">
      <c r="A115" s="38" t="s">
        <v>59</v>
      </c>
      <c r="B115" s="38" t="s">
        <v>60</v>
      </c>
      <c r="E115" s="38" t="s">
        <v>61</v>
      </c>
      <c r="L115" s="38" t="s">
        <v>62</v>
      </c>
    </row>
    <row r="116" ht="12.75">
      <c r="B116" s="143" t="s">
        <v>21</v>
      </c>
    </row>
    <row r="117" spans="1:11" ht="12.75">
      <c r="A117" s="143" t="s">
        <v>144</v>
      </c>
      <c r="B117" s="38">
        <v>1</v>
      </c>
      <c r="C117" s="38">
        <v>2</v>
      </c>
      <c r="D117" s="38">
        <v>3</v>
      </c>
      <c r="E117" s="38">
        <v>4</v>
      </c>
      <c r="F117" s="38">
        <v>5</v>
      </c>
      <c r="G117" s="38">
        <v>6</v>
      </c>
      <c r="H117" s="38">
        <v>7</v>
      </c>
      <c r="I117" s="38">
        <v>8</v>
      </c>
      <c r="J117" s="38">
        <v>9</v>
      </c>
      <c r="K117" s="38">
        <v>10</v>
      </c>
    </row>
    <row r="118" spans="1:2" ht="12.75">
      <c r="A118" s="38">
        <v>1</v>
      </c>
      <c r="B118" s="40"/>
    </row>
    <row r="119" spans="1:12" ht="12.75">
      <c r="A119" s="38">
        <v>2</v>
      </c>
      <c r="J119" s="38">
        <f aca="true" t="shared" si="14" ref="J119:J127">(2*J$67/(J$21^2))/J$83</f>
        <v>0.00014135677391005798</v>
      </c>
      <c r="L119" s="42">
        <f>L104^2+(K28*SUM(K29:K$36)*SUM(B119:J119))</f>
        <v>465340.5691669245</v>
      </c>
    </row>
    <row r="120" spans="1:12" ht="12.75">
      <c r="A120" s="38">
        <v>3</v>
      </c>
      <c r="I120" s="38">
        <f aca="true" t="shared" si="15" ref="I120:I127">(2*I$67/(I$21^2))/I$83</f>
        <v>0.00043838226418086535</v>
      </c>
      <c r="J120" s="38">
        <f t="shared" si="14"/>
        <v>0.00014135677391005798</v>
      </c>
      <c r="L120" s="42">
        <f>L105^2+(K29*SUM(K30:K$36)*SUM(B120:J120))</f>
        <v>2529638.720805542</v>
      </c>
    </row>
    <row r="121" spans="1:12" ht="12.75">
      <c r="A121" s="38">
        <v>4</v>
      </c>
      <c r="H121" s="38">
        <f aca="true" t="shared" si="16" ref="H121:H127">(2*H$67/(H$21^2))/H$83</f>
        <v>4.4646634253035386E-05</v>
      </c>
      <c r="I121" s="38">
        <f t="shared" si="15"/>
        <v>0.00043838226418086535</v>
      </c>
      <c r="J121" s="38">
        <f t="shared" si="14"/>
        <v>0.00014135677391005798</v>
      </c>
      <c r="L121" s="42">
        <f>L106^2+(K30*SUM(K31:K$36)*SUM(B121:J121))</f>
        <v>2792115.2062884094</v>
      </c>
    </row>
    <row r="122" spans="1:12" ht="12.75">
      <c r="A122" s="38">
        <v>5</v>
      </c>
      <c r="G122" s="38">
        <f aca="true" t="shared" si="17" ref="G122:G127">(2*G$67/(G$21^2))/G$83</f>
        <v>0.0009391020507759544</v>
      </c>
      <c r="H122" s="38">
        <f t="shared" si="16"/>
        <v>4.4646634253035386E-05</v>
      </c>
      <c r="I122" s="38">
        <f t="shared" si="15"/>
        <v>0.00043838226418086535</v>
      </c>
      <c r="J122" s="38">
        <f t="shared" si="14"/>
        <v>0.00014135677391005798</v>
      </c>
      <c r="L122" s="42">
        <f>L107^2+(K31*SUM(K32:K$36)*SUM(B122:J122))</f>
        <v>6488259.639956211</v>
      </c>
    </row>
    <row r="123" spans="1:12" ht="12.75">
      <c r="A123" s="38">
        <v>6</v>
      </c>
      <c r="F123" s="38">
        <f>(2*F$67/(F$21^2))/F$83</f>
        <v>0.002019172760796472</v>
      </c>
      <c r="G123" s="38">
        <f t="shared" si="17"/>
        <v>0.0009391020507759544</v>
      </c>
      <c r="H123" s="38">
        <f t="shared" si="16"/>
        <v>4.4646634253035386E-05</v>
      </c>
      <c r="I123" s="38">
        <f t="shared" si="15"/>
        <v>0.00043838226418086535</v>
      </c>
      <c r="J123" s="38">
        <f t="shared" si="14"/>
        <v>0.00014135677391005798</v>
      </c>
      <c r="L123" s="42">
        <f>L108^2+(K32*SUM(K33:K$36)*SUM(B123:J123))</f>
        <v>9332319.937675077</v>
      </c>
    </row>
    <row r="124" spans="1:12" ht="12.75">
      <c r="A124" s="38">
        <v>7</v>
      </c>
      <c r="E124" s="38">
        <f>(2*E$67/(E$21^2))/E$83</f>
        <v>0.0009391584217143892</v>
      </c>
      <c r="F124" s="38">
        <f>(2*F$67/(F$21^2))/F$83</f>
        <v>0.002019172760796472</v>
      </c>
      <c r="G124" s="38">
        <f t="shared" si="17"/>
        <v>0.0009391020507759544</v>
      </c>
      <c r="H124" s="38">
        <f t="shared" si="16"/>
        <v>4.4646634253035386E-05</v>
      </c>
      <c r="I124" s="38">
        <f t="shared" si="15"/>
        <v>0.00043838226418086535</v>
      </c>
      <c r="J124" s="38">
        <f t="shared" si="14"/>
        <v>0.00014135677391005798</v>
      </c>
      <c r="L124" s="42">
        <f>L109^2+(K33*SUM(K34:K$36)*SUM(B124:J124))</f>
        <v>9573230.732258767</v>
      </c>
    </row>
    <row r="125" spans="1:12" ht="12.75">
      <c r="A125" s="38">
        <v>8</v>
      </c>
      <c r="D125" s="38">
        <f>(2*D$67/(D$21^2))/D$83</f>
        <v>0.010141341200164303</v>
      </c>
      <c r="E125" s="38">
        <f>(2*E$67/(E$21^2))/E$83</f>
        <v>0.0009391584217143892</v>
      </c>
      <c r="F125" s="38">
        <f>(2*F$67/(F$21^2))/F$83</f>
        <v>0.002019172760796472</v>
      </c>
      <c r="G125" s="38">
        <f t="shared" si="17"/>
        <v>0.0009391020507759544</v>
      </c>
      <c r="H125" s="38">
        <f t="shared" si="16"/>
        <v>4.4646634253035386E-05</v>
      </c>
      <c r="I125" s="38">
        <f t="shared" si="15"/>
        <v>0.00043838226418086535</v>
      </c>
      <c r="J125" s="38">
        <f t="shared" si="14"/>
        <v>0.00014135677391005798</v>
      </c>
      <c r="L125" s="42">
        <f>L110^2+(K34*SUM(K35:K$36)*SUM(B125:J125))</f>
        <v>40839052.869523734</v>
      </c>
    </row>
    <row r="126" spans="1:12" ht="12.75">
      <c r="A126" s="38">
        <v>9</v>
      </c>
      <c r="C126" s="38">
        <f>(2*C$67/(C$21^2))/C$83</f>
        <v>0.014000507083484727</v>
      </c>
      <c r="D126" s="38">
        <f>(2*D$67/(D$21^2))/D$83</f>
        <v>0.010141341200164303</v>
      </c>
      <c r="E126" s="38">
        <f>(2*E$67/(E$21^2))/E$83</f>
        <v>0.0009391584217143892</v>
      </c>
      <c r="F126" s="38">
        <f>(2*F$67/(F$21^2))/F$83</f>
        <v>0.002019172760796472</v>
      </c>
      <c r="G126" s="38">
        <f t="shared" si="17"/>
        <v>0.0009391020507759544</v>
      </c>
      <c r="H126" s="38">
        <f t="shared" si="16"/>
        <v>4.4646634253035386E-05</v>
      </c>
      <c r="I126" s="38">
        <f t="shared" si="15"/>
        <v>0.00043838226418086535</v>
      </c>
      <c r="J126" s="38">
        <f t="shared" si="14"/>
        <v>0.00014135677391005798</v>
      </c>
      <c r="L126" s="42">
        <f>L111^2+(K35*SUM(K36:K$36)*SUM(B126:J126))</f>
        <v>48572421.97324622</v>
      </c>
    </row>
    <row r="127" spans="1:12" ht="12.75">
      <c r="A127" s="38">
        <v>10</v>
      </c>
      <c r="B127" s="38">
        <f>(2*B$67/(B$21^2))/B$83</f>
        <v>0.28397906189764066</v>
      </c>
      <c r="C127" s="38">
        <f>(2*C$67/(C$21^2))/C$83</f>
        <v>0.014000507083484727</v>
      </c>
      <c r="D127" s="38">
        <f>(2*D$67/(D$21^2))/D$83</f>
        <v>0.010141341200164303</v>
      </c>
      <c r="E127" s="38">
        <f>(2*E$67/(E$21^2))/E$83</f>
        <v>0.0009391584217143892</v>
      </c>
      <c r="F127" s="38">
        <f>(2*F$67/(F$21^2))/F$83</f>
        <v>0.002019172760796472</v>
      </c>
      <c r="G127" s="38">
        <f t="shared" si="17"/>
        <v>0.0009391020507759544</v>
      </c>
      <c r="H127" s="38">
        <f t="shared" si="16"/>
        <v>4.4646634253035386E-05</v>
      </c>
      <c r="I127" s="38">
        <f t="shared" si="15"/>
        <v>0.00043838226418086535</v>
      </c>
      <c r="J127" s="38">
        <f t="shared" si="14"/>
        <v>0.00014135677391005798</v>
      </c>
      <c r="L127" s="42">
        <f>L112^2</f>
        <v>603502501.7256341</v>
      </c>
    </row>
    <row r="129" spans="11:13" ht="12.75">
      <c r="K129" s="39" t="s">
        <v>154</v>
      </c>
      <c r="L129" s="42">
        <f>SQRT(SUM(L119:L127))</f>
        <v>26909.01115564366</v>
      </c>
      <c r="M129" s="144"/>
    </row>
    <row r="130" ht="12.75">
      <c r="M130" s="144"/>
    </row>
    <row r="131" spans="11:13" ht="12.75">
      <c r="K131" s="39" t="s">
        <v>152</v>
      </c>
      <c r="L131" s="42">
        <f>SQRT(SUMSQ(L104:L112))</f>
        <v>26160.182284157414</v>
      </c>
      <c r="M131" s="144"/>
    </row>
    <row r="132" spans="11:12" ht="12.75">
      <c r="K132" s="39" t="s">
        <v>153</v>
      </c>
      <c r="L132" s="42">
        <f>SUM(L104:L112)</f>
        <v>43514.651205700975</v>
      </c>
    </row>
    <row r="133" ht="12.75">
      <c r="L133" s="42"/>
    </row>
    <row r="134" ht="12.75">
      <c r="L134" s="42"/>
    </row>
    <row r="135" ht="12.75">
      <c r="L135" s="42"/>
    </row>
    <row r="136" ht="12.75">
      <c r="L136" s="42"/>
    </row>
    <row r="137" ht="12.75">
      <c r="L137" s="42"/>
    </row>
    <row r="138" ht="12.75">
      <c r="L138" s="42"/>
    </row>
    <row r="139" ht="12.75">
      <c r="L139" s="42"/>
    </row>
    <row r="140" ht="12.75">
      <c r="L140" s="42"/>
    </row>
    <row r="141" ht="12.75">
      <c r="L141" s="42"/>
    </row>
    <row r="142" ht="12.75">
      <c r="L142" s="42"/>
    </row>
    <row r="143" ht="12.75">
      <c r="L143" s="42"/>
    </row>
    <row r="144" ht="12.75">
      <c r="L144" s="42"/>
    </row>
    <row r="145" ht="12.75">
      <c r="L145" s="42"/>
    </row>
    <row r="146" ht="12.75">
      <c r="L146" s="42"/>
    </row>
    <row r="147" ht="12.75">
      <c r="L147" s="42"/>
    </row>
    <row r="148" ht="12.75">
      <c r="L148" s="42"/>
    </row>
    <row r="149" ht="12.75">
      <c r="L149" s="42"/>
    </row>
    <row r="150" ht="12.75">
      <c r="L150" s="42"/>
    </row>
    <row r="151" ht="12.75">
      <c r="L151" s="42"/>
    </row>
    <row r="152" ht="12.75">
      <c r="L152" s="42"/>
    </row>
    <row r="153" ht="12.75">
      <c r="L153" s="42"/>
    </row>
    <row r="154" ht="12.75">
      <c r="L154" s="42"/>
    </row>
    <row r="155" ht="12.75">
      <c r="L155" s="42"/>
    </row>
    <row r="156" ht="12.75">
      <c r="L156" s="42"/>
    </row>
    <row r="157" ht="12.75">
      <c r="L157" s="42"/>
    </row>
    <row r="158" ht="12.75">
      <c r="L158" s="42"/>
    </row>
    <row r="159" ht="12.75">
      <c r="L159" s="42"/>
    </row>
    <row r="160" ht="12.75">
      <c r="L160" s="42"/>
    </row>
    <row r="161" ht="12.75">
      <c r="L161" s="42"/>
    </row>
    <row r="162" ht="12.75">
      <c r="L162" s="42"/>
    </row>
    <row r="163" ht="12.75">
      <c r="L163" s="42"/>
    </row>
    <row r="164" ht="12.75">
      <c r="L164" s="42"/>
    </row>
    <row r="165" ht="12.75">
      <c r="L165" s="42"/>
    </row>
    <row r="166" ht="12.75">
      <c r="L166" s="42"/>
    </row>
    <row r="167" ht="12.75">
      <c r="L167" s="42"/>
    </row>
    <row r="168" ht="12.75">
      <c r="L168" s="42"/>
    </row>
    <row r="169" ht="12.75">
      <c r="L169" s="42"/>
    </row>
    <row r="170" ht="12.75">
      <c r="L170" s="42"/>
    </row>
    <row r="171" ht="12.75">
      <c r="L171" s="42"/>
    </row>
    <row r="172" ht="12.75">
      <c r="L172" s="42"/>
    </row>
    <row r="174" ht="12.75">
      <c r="A174" s="38" t="s">
        <v>163</v>
      </c>
    </row>
    <row r="176" spans="2:6" ht="15.75">
      <c r="B176" s="145" t="s">
        <v>63</v>
      </c>
      <c r="C176" s="145" t="s">
        <v>32</v>
      </c>
      <c r="D176" s="145" t="s">
        <v>97</v>
      </c>
      <c r="E176" s="146" t="s">
        <v>151</v>
      </c>
      <c r="F176" s="147" t="s">
        <v>62</v>
      </c>
    </row>
    <row r="177" spans="2:5" ht="12.75">
      <c r="B177" s="146">
        <v>1981</v>
      </c>
      <c r="C177" s="140">
        <f>L88</f>
        <v>18834</v>
      </c>
      <c r="D177" s="140">
        <f>K42</f>
        <v>0</v>
      </c>
      <c r="E177" s="138"/>
    </row>
    <row r="178" spans="2:6" ht="12.75">
      <c r="B178" s="146">
        <v>1982</v>
      </c>
      <c r="C178" s="140">
        <f>L89</f>
        <v>16857.95391705069</v>
      </c>
      <c r="D178" s="140">
        <f>K43</f>
        <v>153.9539170506905</v>
      </c>
      <c r="E178" s="140">
        <f>L104</f>
        <v>206.220059401112</v>
      </c>
      <c r="F178" s="42">
        <f>E178^2+(K28*SUM(K$29:K29)*SUM(B119:J119))</f>
        <v>99917.04817255441</v>
      </c>
    </row>
    <row r="179" spans="2:6" ht="12.75">
      <c r="B179" s="146">
        <v>1983</v>
      </c>
      <c r="C179" s="140">
        <f>L90</f>
        <v>24083.37092381492</v>
      </c>
      <c r="D179" s="140">
        <f>K44</f>
        <v>617.3709238149204</v>
      </c>
      <c r="E179" s="140">
        <f>L105</f>
        <v>623.376672631965</v>
      </c>
      <c r="F179" s="42">
        <f>E179^2</f>
        <v>388598.47598170006</v>
      </c>
    </row>
    <row r="180" spans="2:5" ht="12.75">
      <c r="B180" s="138"/>
      <c r="C180" s="138"/>
      <c r="D180" s="138"/>
      <c r="E180" s="138"/>
    </row>
    <row r="181" spans="2:6" ht="12.75">
      <c r="B181" s="146" t="s">
        <v>42</v>
      </c>
      <c r="C181" s="138"/>
      <c r="D181" s="140">
        <f>SUM(D177:D179)</f>
        <v>771.3248408656109</v>
      </c>
      <c r="E181" s="140"/>
      <c r="F181" s="14">
        <f>SQRT(SUM(F177:F179))</f>
        <v>698.9388558051802</v>
      </c>
    </row>
    <row r="182" spans="2:5" ht="12.75">
      <c r="B182" s="138"/>
      <c r="C182" s="138"/>
      <c r="D182" s="138"/>
      <c r="E182" s="141"/>
    </row>
    <row r="183" spans="2:5" ht="12.75">
      <c r="B183" s="138"/>
      <c r="C183" s="138"/>
      <c r="D183" s="138"/>
      <c r="E183" s="138"/>
    </row>
    <row r="184" spans="2:5" ht="12.75">
      <c r="B184" s="138" t="s">
        <v>136</v>
      </c>
      <c r="C184" s="138"/>
      <c r="D184" s="138"/>
      <c r="E184" s="142">
        <f>D181/SUM(F177:F179)</f>
        <v>0.001578915720643621</v>
      </c>
    </row>
    <row r="185" spans="2:5" ht="12.75">
      <c r="B185" s="138" t="s">
        <v>137</v>
      </c>
      <c r="C185" s="138"/>
      <c r="D185" s="138"/>
      <c r="E185" s="148">
        <f>E184*D181</f>
        <v>1.2178569169656523</v>
      </c>
    </row>
    <row r="186" spans="2:5" ht="12.75">
      <c r="B186" s="138" t="s">
        <v>138</v>
      </c>
      <c r="C186" s="138"/>
      <c r="D186" s="138"/>
      <c r="E186" s="140">
        <f>1/E184</f>
        <v>633.3460278629472</v>
      </c>
    </row>
    <row r="187" spans="2:5" ht="12.75">
      <c r="B187" s="139" t="s">
        <v>122</v>
      </c>
      <c r="C187" s="138"/>
      <c r="D187" s="138"/>
      <c r="E187" s="140">
        <f>GAMMAINV(0.95,E185,E186)</f>
        <v>2156.8053979773913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Casualty Actuarial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Casualty Loss Reserve Seminar</dc:title>
  <dc:subject>Section 2 -- Mack Model</dc:subject>
  <dc:creator>Louise Francis &amp; Mark Shapland</dc:creator>
  <cp:keywords/>
  <dc:description>© Copywrite 2006-2008: Milliman, Inc. and Francis Analytics and Actuarial Data Mining, Inc. All Rights Reserved.</dc:description>
  <cp:lastModifiedBy>Cecily Marx</cp:lastModifiedBy>
  <cp:lastPrinted>2006-07-12T19:59:49Z</cp:lastPrinted>
  <dcterms:created xsi:type="dcterms:W3CDTF">2006-07-06T01:20:22Z</dcterms:created>
  <dcterms:modified xsi:type="dcterms:W3CDTF">2008-09-24T14:47:42Z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-49642551</vt:i4>
  </property>
  <property fmtid="{D5CDD505-2E9C-101B-9397-08002B2CF9AE}" pid="3" name="_EmailSubject">
    <vt:lpwstr>Excel Models Reworked</vt:lpwstr>
  </property>
  <property fmtid="{D5CDD505-2E9C-101B-9397-08002B2CF9AE}" pid="4" name="_AuthorEmail">
    <vt:lpwstr>Giuseppe.Russo@ace-ina.com</vt:lpwstr>
  </property>
  <property fmtid="{D5CDD505-2E9C-101B-9397-08002B2CF9AE}" pid="5" name="_AuthorEmailDisplayName">
    <vt:lpwstr>Russo, Giuseppe</vt:lpwstr>
  </property>
  <property fmtid="{D5CDD505-2E9C-101B-9397-08002B2CF9AE}" pid="6" name="_ReviewingToolsShownOnce">
    <vt:lpwstr/>
  </property>
</Properties>
</file>