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20" windowWidth="13155" windowHeight="9720" tabRatio="814" activeTab="0"/>
  </bookViews>
  <sheets>
    <sheet name="input" sheetId="1" r:id="rId1"/>
    <sheet name="Recall LDM Differences" sheetId="2" r:id="rId2"/>
    <sheet name="Reasonableness Checks" sheetId="3" r:id="rId3"/>
    <sheet name="II-9 Chart" sheetId="4" r:id="rId4"/>
    <sheet name="II-9 Chart for Print" sheetId="5" r:id="rId5"/>
    <sheet name="II-9 Backup" sheetId="6" r:id="rId6"/>
    <sheet name="Sensitivity Analysis" sheetId="7" r:id="rId7"/>
    <sheet name="II-15" sheetId="8" r:id="rId8"/>
    <sheet name="II-16" sheetId="9" r:id="rId9"/>
    <sheet name="II-21" sheetId="10" r:id="rId10"/>
    <sheet name="II-22" sheetId="11" r:id="rId11"/>
    <sheet name="II-27" sheetId="12" r:id="rId12"/>
    <sheet name="II-28" sheetId="13" r:id="rId13"/>
    <sheet name="II-29" sheetId="14" r:id="rId14"/>
    <sheet name="II- 30 Chart" sheetId="15" r:id="rId15"/>
    <sheet name="II- 30 Chart for Print" sheetId="16" r:id="rId16"/>
    <sheet name="II-30 Backup" sheetId="17" r:id="rId17"/>
    <sheet name="DCC Reserving" sheetId="18" r:id="rId18"/>
    <sheet name="Adjusting &amp; Other" sheetId="19" r:id="rId19"/>
  </sheets>
  <externalReferences>
    <externalReference r:id="rId22"/>
  </externalReferences>
  <definedNames>
    <definedName name="curreval">'input'!$C$3</definedName>
    <definedName name="latest_year">'input'!$C$1</definedName>
  </definedNames>
  <calcPr fullCalcOnLoad="1"/>
</workbook>
</file>

<file path=xl/sharedStrings.xml><?xml version="1.0" encoding="utf-8"?>
<sst xmlns="http://schemas.openxmlformats.org/spreadsheetml/2006/main" count="680" uniqueCount="256">
  <si>
    <t>Cumulative Paid Losses ($000 Omitted)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</si>
  <si>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</si>
  <si>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</si>
  <si>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</si>
  <si>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</si>
  <si>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</si>
  <si>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</si>
  <si>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</si>
  <si>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</si>
  <si>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</si>
  <si>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</si>
  <si>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</si>
  <si>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</si>
  <si>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</si>
  <si>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</si>
  <si>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 xml:space="preserve">XXX 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</si>
  <si>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</si>
  <si>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</si>
  <si>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</si>
  <si>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</si>
  <si>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</si>
  <si>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</si>
  <si>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</si>
  <si>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</si>
  <si>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Reserves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</si>
  <si>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</si>
  <si>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</si>
  <si>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</si>
  <si>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</si>
  <si>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</si>
  <si>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</si>
  <si>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</si>
  <si>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</si>
  <si>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</si>
  <si>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Selected Cumulative Development factors to Ultimate</t>
  </si>
  <si>
    <t>Reported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</si>
  <si>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</si>
  <si>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</si>
  <si>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</si>
  <si>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</si>
  <si>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</si>
  <si>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</si>
  <si>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</si>
  <si>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Accident Year</t>
  </si>
  <si>
    <t>IBNR</t>
  </si>
  <si>
    <t>Cumulative Number of Claims Reported *</t>
  </si>
  <si>
    <t xml:space="preserve">    company to company. Some companies count claims as </t>
  </si>
  <si>
    <t xml:space="preserve">    one per claimant when more than one claim is involved</t>
  </si>
  <si>
    <t xml:space="preserve">    in an incident. Some companies remove claims that close</t>
  </si>
  <si>
    <t xml:space="preserve">    without payment. We assume that Typical P&amp;C Insurance</t>
  </si>
  <si>
    <t xml:space="preserve">    Company counts on a per claimant basis and includes</t>
  </si>
  <si>
    <t xml:space="preserve">    closed claims without payment.</t>
  </si>
  <si>
    <t>(4) - (2)</t>
  </si>
  <si>
    <t>Est. Ultimate Losses ($000)</t>
  </si>
  <si>
    <t>Indicated Loss Ratio</t>
  </si>
  <si>
    <t>Earned</t>
  </si>
  <si>
    <t>Using:</t>
  </si>
  <si>
    <t>Premium</t>
  </si>
  <si>
    <t>PLDM</t>
  </si>
  <si>
    <t>ILDM</t>
  </si>
  <si>
    <t>Paid LDM</t>
  </si>
  <si>
    <t>Incurred LDM</t>
  </si>
  <si>
    <t>(8)</t>
  </si>
  <si>
    <t>Average Reported Loss</t>
  </si>
  <si>
    <t>Effect on Estimates Given a 2% Increase in Reported Losses Tail Factor</t>
  </si>
  <si>
    <t>Revised</t>
  </si>
  <si>
    <t>Unpaid</t>
  </si>
  <si>
    <t>Selected LDF's</t>
  </si>
  <si>
    <t>Age to Ult.</t>
  </si>
  <si>
    <t>Ratio</t>
  </si>
  <si>
    <t>(Without the 2% Tail Factor Increase)</t>
  </si>
  <si>
    <t>Increase in Estimated Unpaid Losses Due to Increased Tail Factor</t>
  </si>
  <si>
    <t>Selected Loss Development Factors</t>
  </si>
  <si>
    <t>LDF</t>
  </si>
  <si>
    <t>Estimated Unpaid Losses Based on Original ILDM</t>
  </si>
  <si>
    <t xml:space="preserve">   * The definition of a "reported claim" varies from</t>
  </si>
  <si>
    <t>Latest evaluation date:</t>
  </si>
  <si>
    <t>Average - All Years</t>
  </si>
  <si>
    <t>Average - Latest 3 Years</t>
  </si>
  <si>
    <t>Average - Excl Hi &amp; Lo</t>
  </si>
  <si>
    <t>Wt Average - All Years</t>
  </si>
  <si>
    <t>Selected LDF</t>
  </si>
  <si>
    <t>Ratio Paid to Case Reported</t>
  </si>
  <si>
    <t>Cumulative Case Reported Losses ($000 Omitted)</t>
  </si>
  <si>
    <t>Cumulative LDF</t>
  </si>
  <si>
    <t>Example 1: Actual Reported Losses = Expected Reported Losses</t>
  </si>
  <si>
    <t>Case Loss</t>
  </si>
  <si>
    <t>Expected Losses</t>
  </si>
  <si>
    <t>Expected</t>
  </si>
  <si>
    <t>Reported Losses</t>
  </si>
  <si>
    <t>ELR</t>
  </si>
  <si>
    <t>Loss Ratio</t>
  </si>
  <si>
    <t>$6 Million</t>
  </si>
  <si>
    <t>$10 Million</t>
  </si>
  <si>
    <t>B-F</t>
  </si>
  <si>
    <t>Bornhuetter -</t>
  </si>
  <si>
    <t>Twice Expected Losses</t>
  </si>
  <si>
    <t>Ferguson</t>
  </si>
  <si>
    <t>Incurred Loss</t>
  </si>
  <si>
    <t>Half Expected Losses</t>
  </si>
  <si>
    <t>Example 2: Actual Reported Losses = Twice Expected Reported Losses</t>
  </si>
  <si>
    <t>$12 Million</t>
  </si>
  <si>
    <t>$4  Million</t>
  </si>
  <si>
    <t>Example 3: Actual Reported Losses = Half Expected Reported Losses</t>
  </si>
  <si>
    <t>$3 Million</t>
  </si>
  <si>
    <t>+3,780 / 9,337</t>
  </si>
  <si>
    <t>+4,212 / 10,540</t>
  </si>
  <si>
    <t>+6,671 / 10,847</t>
  </si>
  <si>
    <t>Example  of  ELR  from  Schedule P</t>
  </si>
  <si>
    <t>EZ INSURANCE COMPANY AUTO LIABILITY</t>
  </si>
  <si>
    <t>Schedule P - Part 1B</t>
  </si>
  <si>
    <t>Private Passenger Auto Liability/Medical</t>
  </si>
  <si>
    <t>Years</t>
  </si>
  <si>
    <t/>
  </si>
  <si>
    <t>Loss and Loss Expense Percentage</t>
  </si>
  <si>
    <t>Premiums</t>
  </si>
  <si>
    <t>(Incurred/Premiums Earned)</t>
  </si>
  <si>
    <t>Direct</t>
  </si>
  <si>
    <t xml:space="preserve"> </t>
  </si>
  <si>
    <t xml:space="preserve"> and Losses</t>
  </si>
  <si>
    <t>and</t>
  </si>
  <si>
    <t>Assumed</t>
  </si>
  <si>
    <t>Ceded</t>
  </si>
  <si>
    <t>Net</t>
  </si>
  <si>
    <t>1.</t>
  </si>
  <si>
    <t>Prior</t>
  </si>
  <si>
    <t xml:space="preserve">XXXX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</si>
  <si>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</si>
  <si>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</si>
  <si>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</si>
  <si>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</si>
  <si>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</si>
  <si>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</si>
  <si>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</si>
  <si>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</si>
  <si>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</si>
  <si>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</si>
  <si>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3 year average</t>
  </si>
  <si>
    <t xml:space="preserve">           5 year average</t>
  </si>
  <si>
    <t>+1.000 - 1.000/1.215</t>
  </si>
  <si>
    <t>+1.000 - 1.000/1.015</t>
  </si>
  <si>
    <t>IBNR Factor = 1.000 - 1.000/Cumulative Loss Development Factor</t>
  </si>
  <si>
    <t>IBNR Factor</t>
  </si>
  <si>
    <t xml:space="preserve">Expected </t>
  </si>
  <si>
    <t xml:space="preserve">Loss </t>
  </si>
  <si>
    <t>Factor</t>
  </si>
  <si>
    <t>(2) x (3)</t>
  </si>
  <si>
    <t>(4) x (5)</t>
  </si>
  <si>
    <t>(6) + (7)</t>
  </si>
  <si>
    <t>Commissions</t>
  </si>
  <si>
    <t>Taxes</t>
  </si>
  <si>
    <t>General Expenses</t>
  </si>
  <si>
    <t>Profit</t>
  </si>
  <si>
    <t>Expected Loss Ratio</t>
  </si>
  <si>
    <t>(Available for Loss and Loss Adjustment Expense)</t>
  </si>
  <si>
    <t>Percent of</t>
  </si>
  <si>
    <t>Cumulative  Paid  DCC ($ 000)</t>
  </si>
  <si>
    <t>EZ INSURANCE  COMPANY  AUTO  LIABILITY</t>
  </si>
  <si>
    <t>-</t>
  </si>
  <si>
    <t>DEVELOPMENT STAGE IN MONTHS ------------</t>
  </si>
  <si>
    <t>12</t>
  </si>
  <si>
    <t>24</t>
  </si>
  <si>
    <t>36</t>
  </si>
  <si>
    <t>48</t>
  </si>
  <si>
    <t>60</t>
  </si>
  <si>
    <t>72</t>
  </si>
  <si>
    <t>84</t>
  </si>
  <si>
    <t>PAID DCC DEVELOPMENT FACTORS ------------</t>
  </si>
  <si>
    <t>72-84</t>
  </si>
  <si>
    <t>84-Ult</t>
  </si>
  <si>
    <t>4 point average</t>
  </si>
  <si>
    <t>Avg. excl.  high/low</t>
  </si>
  <si>
    <t>Vol. wght. average</t>
  </si>
  <si>
    <t>SELECTED LDFs</t>
  </si>
  <si>
    <t>1.108</t>
  </si>
  <si>
    <t>CUMULATIVE LDFs</t>
  </si>
  <si>
    <t>DCC  Reserves  Based  on  Paid  DCC  Development</t>
  </si>
  <si>
    <t>($ 000s)</t>
  </si>
  <si>
    <t>DCC Paid</t>
  </si>
  <si>
    <t>to Date</t>
  </si>
  <si>
    <t>DCC</t>
  </si>
  <si>
    <t>Cumulative  Paid  DCC  to  Cumulative  Paid  Losses</t>
  </si>
  <si>
    <t>CUMULATIVE PAID DCC ---------------</t>
  </si>
  <si>
    <t>166</t>
  </si>
  <si>
    <t>286</t>
  </si>
  <si>
    <t>416</t>
  </si>
  <si>
    <t>527</t>
  </si>
  <si>
    <t>611</t>
  </si>
  <si>
    <t>CUMULATIVE PAID LOSSES --------</t>
  </si>
  <si>
    <t>Cumulative Paid DCC to Cumulative Paid Losses</t>
  </si>
  <si>
    <t>EZ  INSURANCE  COMPANY  AUTO  LIABILITY</t>
  </si>
  <si>
    <t>PAID  TO  PAID  DEVELOPMENT  FACTORS --------------</t>
  </si>
  <si>
    <t>4 point avg.</t>
  </si>
  <si>
    <t>Avg. excl. high/low</t>
  </si>
  <si>
    <t>3.252</t>
  </si>
  <si>
    <t>2.629</t>
  </si>
  <si>
    <t>1.887</t>
  </si>
  <si>
    <t>1.462</t>
  </si>
  <si>
    <t>1.251</t>
  </si>
  <si>
    <t>1.141</t>
  </si>
  <si>
    <t>1.068</t>
  </si>
  <si>
    <t>DCC Reserves Based on Cumulative Paid DCC to Cumulative Paid Loss Development</t>
  </si>
  <si>
    <t>EZ INSURANCE  COMPANY  AUTO  LIABILITY ($000s)</t>
  </si>
  <si>
    <t>Developed</t>
  </si>
  <si>
    <t>Indicated</t>
  </si>
  <si>
    <t>Devel.</t>
  </si>
  <si>
    <t>Paid/Paid</t>
  </si>
  <si>
    <t>(6) - (7)</t>
  </si>
  <si>
    <t xml:space="preserve">    Total</t>
  </si>
  <si>
    <t>Example  of  "50/50"  Rule</t>
  </si>
  <si>
    <t>EZ  Insurance  Co. -  Auto  Liability</t>
  </si>
  <si>
    <t>Calendar</t>
  </si>
  <si>
    <t xml:space="preserve"> AO</t>
  </si>
  <si>
    <t xml:space="preserve">    (3)</t>
  </si>
  <si>
    <t xml:space="preserve">   (4)</t>
  </si>
  <si>
    <t>= (2) / (3)</t>
  </si>
  <si>
    <t xml:space="preserve">   Total</t>
  </si>
  <si>
    <t>Ratio  of  Paid  AO  to  Paid  Losses</t>
  </si>
  <si>
    <t>50%  of  Ratio</t>
  </si>
  <si>
    <t>Known  Case  Loss  Reserves</t>
  </si>
  <si>
    <t>IBNR  Reserve</t>
  </si>
  <si>
    <t>AO Reserve</t>
  </si>
  <si>
    <t>=  (0.039 x 22,989) + (0.078 x 5,296)</t>
  </si>
  <si>
    <t>=   897 + 413</t>
  </si>
  <si>
    <t>=   1,310</t>
  </si>
  <si>
    <t>Slide 42</t>
  </si>
  <si>
    <t>Slide 43</t>
  </si>
  <si>
    <t>Slide 45</t>
  </si>
  <si>
    <t>Slide 46</t>
  </si>
  <si>
    <t>Slide 47</t>
  </si>
  <si>
    <t>Slide 48</t>
  </si>
  <si>
    <t>Slide 54</t>
  </si>
  <si>
    <t>Slide 55</t>
  </si>
  <si>
    <t>slide 42</t>
  </si>
  <si>
    <t>slide 46</t>
  </si>
  <si>
    <t>slide 45</t>
  </si>
  <si>
    <t>slide 43</t>
  </si>
  <si>
    <t>slide 47</t>
  </si>
  <si>
    <t>Latest AY:</t>
  </si>
  <si>
    <t>basic 2 slide 8</t>
  </si>
  <si>
    <t>Basic 2 slide 4</t>
  </si>
  <si>
    <t>basic 2 slide 16</t>
  </si>
  <si>
    <t>basic 2 slide 17</t>
  </si>
  <si>
    <t>link to basic1.xls in cells C8:C12</t>
  </si>
  <si>
    <t>----------- CUM PAID DCC TO CUM PAID LOSSES ------------</t>
  </si>
  <si>
    <t>links to basic1.xls in cells B5:C10</t>
  </si>
  <si>
    <t>Sheet "Recall LDM Differences" has links to basic1.xls</t>
  </si>
  <si>
    <t>basic 2 slides 12 &amp; 13</t>
  </si>
  <si>
    <t>Sensitivity Analysis</t>
  </si>
  <si>
    <t>basic 2 slide  14</t>
  </si>
  <si>
    <t>Data above feeds blue areas to right.</t>
  </si>
  <si>
    <t>Hidden columns to left contain data that feeds data below.</t>
  </si>
  <si>
    <t>Blue areas feed Power Point Slides</t>
  </si>
  <si>
    <t>Note - put in the form of '12/31/XX.  Don't forget apostrophe</t>
  </si>
  <si>
    <t>Update date &amp; location of PPT presentation: both on slides and on handout master</t>
  </si>
  <si>
    <t>links to basic1.xls in cells C1 abd C3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</si>
</sst>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b/>
      <sz val="10"/>
      <color indexed="43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43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u val="single"/>
      <sz val="12"/>
      <color indexed="13"/>
      <name val="Arial"/>
      <family val="2"/>
    </font>
    <font>
      <sz val="9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sz val="12"/>
      <color indexed="13"/>
      <name val="Arial"/>
      <family val="2"/>
    </font>
    <font>
      <b/>
      <u val="single"/>
      <sz val="12"/>
      <color indexed="13"/>
      <name val="Helv"/>
      <family val="0"/>
    </font>
    <font>
      <sz val="12"/>
      <color indexed="13"/>
      <name val="Helv"/>
      <family val="0"/>
    </font>
    <font>
      <u val="single"/>
      <sz val="12"/>
      <color indexed="13"/>
      <name val="Helv"/>
      <family val="0"/>
    </font>
    <font>
      <u val="single"/>
      <sz val="16"/>
      <color indexed="13"/>
      <name val="Arial"/>
      <family val="2"/>
    </font>
    <font>
      <sz val="14"/>
      <color indexed="13"/>
      <name val="Arial"/>
      <family val="2"/>
    </font>
    <font>
      <u val="single"/>
      <sz val="14"/>
      <color indexed="13"/>
      <name val="Arial"/>
      <family val="2"/>
    </font>
    <font>
      <sz val="16"/>
      <color indexed="13"/>
      <name val="Arial"/>
      <family val="2"/>
    </font>
    <font>
      <b/>
      <sz val="16"/>
      <color indexed="13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name val="Arial"/>
      <family val="0"/>
    </font>
    <font>
      <sz val="8"/>
      <color indexed="26"/>
      <name val="Arial"/>
      <family val="0"/>
    </font>
    <font>
      <sz val="7.35"/>
      <color indexed="26"/>
      <name val="Arial"/>
      <family val="0"/>
    </font>
    <font>
      <sz val="12"/>
      <color indexed="26"/>
      <name val="Arial"/>
      <family val="0"/>
    </font>
    <font>
      <sz val="10"/>
      <color indexed="26"/>
      <name val="Arial"/>
      <family val="0"/>
    </font>
    <font>
      <sz val="11"/>
      <color indexed="26"/>
      <name val="Arial"/>
      <family val="0"/>
    </font>
    <font>
      <sz val="14"/>
      <color indexed="26"/>
      <name val="Arial"/>
      <family val="0"/>
    </font>
    <font>
      <b/>
      <sz val="11"/>
      <color indexed="2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1"/>
      <color indexed="26"/>
      <name val="Arial"/>
      <family val="0"/>
    </font>
    <font>
      <sz val="11.8"/>
      <color indexed="26"/>
      <name val="Arial"/>
      <family val="0"/>
    </font>
    <font>
      <b/>
      <sz val="10.1"/>
      <color indexed="2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175" fontId="12" fillId="0" borderId="0">
      <alignment/>
      <protection/>
    </xf>
    <xf numFmtId="175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42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34" borderId="13" xfId="0" applyFont="1" applyFill="1" applyBorder="1" applyAlignment="1">
      <alignment horizontal="centerContinuous"/>
    </xf>
    <xf numFmtId="0" fontId="1" fillId="34" borderId="14" xfId="0" applyFont="1" applyFill="1" applyBorder="1" applyAlignment="1">
      <alignment horizontal="centerContinuous"/>
    </xf>
    <xf numFmtId="0" fontId="1" fillId="34" borderId="15" xfId="0" applyFont="1" applyFill="1" applyBorder="1" applyAlignment="1">
      <alignment horizontal="centerContinuous"/>
    </xf>
    <xf numFmtId="0" fontId="1" fillId="35" borderId="13" xfId="0" applyFont="1" applyFill="1" applyBorder="1" applyAlignment="1">
      <alignment horizontal="centerContinuous"/>
    </xf>
    <xf numFmtId="0" fontId="1" fillId="35" borderId="14" xfId="0" applyFont="1" applyFill="1" applyBorder="1" applyAlignment="1">
      <alignment horizontal="centerContinuous"/>
    </xf>
    <xf numFmtId="0" fontId="1" fillId="35" borderId="15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" fillId="34" borderId="17" xfId="0" applyFont="1" applyFill="1" applyBorder="1" applyAlignment="1">
      <alignment horizontal="centerContinuous"/>
    </xf>
    <xf numFmtId="0" fontId="1" fillId="34" borderId="18" xfId="0" applyFont="1" applyFill="1" applyBorder="1" applyAlignment="1">
      <alignment horizontal="centerContinuous"/>
    </xf>
    <xf numFmtId="0" fontId="1" fillId="35" borderId="16" xfId="0" applyFont="1" applyFill="1" applyBorder="1" applyAlignment="1">
      <alignment horizontal="centerContinuous"/>
    </xf>
    <xf numFmtId="0" fontId="1" fillId="35" borderId="17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175" fontId="9" fillId="0" borderId="0" xfId="56" applyFont="1">
      <alignment/>
      <protection/>
    </xf>
    <xf numFmtId="0" fontId="14" fillId="0" borderId="0" xfId="0" applyFont="1" applyAlignment="1">
      <alignment/>
    </xf>
    <xf numFmtId="175" fontId="16" fillId="36" borderId="0" xfId="55" applyNumberFormat="1" applyFont="1" applyFill="1" applyAlignment="1" applyProtection="1">
      <alignment horizontal="centerContinuous"/>
      <protection/>
    </xf>
    <xf numFmtId="175" fontId="16" fillId="36" borderId="0" xfId="55" applyFont="1" applyFill="1" applyAlignment="1">
      <alignment horizontal="centerContinuous"/>
      <protection/>
    </xf>
    <xf numFmtId="0" fontId="17" fillId="36" borderId="0" xfId="57" applyFont="1" applyFill="1">
      <alignment/>
      <protection/>
    </xf>
    <xf numFmtId="0" fontId="0" fillId="0" borderId="0" xfId="57" applyFont="1">
      <alignment/>
      <protection/>
    </xf>
    <xf numFmtId="175" fontId="16" fillId="36" borderId="0" xfId="55" applyNumberFormat="1" applyFont="1" applyFill="1" applyAlignment="1" applyProtection="1">
      <alignment horizontal="center"/>
      <protection/>
    </xf>
    <xf numFmtId="175" fontId="16" fillId="36" borderId="0" xfId="55" applyNumberFormat="1" applyFont="1" applyFill="1" applyAlignment="1" applyProtection="1">
      <alignment horizontal="fill"/>
      <protection/>
    </xf>
    <xf numFmtId="175" fontId="16" fillId="36" borderId="0" xfId="55" applyNumberFormat="1" applyFont="1" applyFill="1" applyAlignment="1" applyProtection="1">
      <alignment horizontal="left"/>
      <protection/>
    </xf>
    <xf numFmtId="175" fontId="16" fillId="36" borderId="0" xfId="55" applyFont="1" applyFill="1">
      <alignment/>
      <protection/>
    </xf>
    <xf numFmtId="175" fontId="18" fillId="36" borderId="0" xfId="55" applyNumberFormat="1" applyFont="1" applyFill="1" applyAlignment="1" applyProtection="1">
      <alignment horizontal="center"/>
      <protection/>
    </xf>
    <xf numFmtId="1" fontId="16" fillId="36" borderId="0" xfId="55" applyNumberFormat="1" applyFont="1" applyFill="1" applyAlignment="1" applyProtection="1">
      <alignment horizontal="center"/>
      <protection/>
    </xf>
    <xf numFmtId="1" fontId="16" fillId="36" borderId="0" xfId="55" applyNumberFormat="1" applyFont="1" applyFill="1">
      <alignment/>
      <protection/>
    </xf>
    <xf numFmtId="175" fontId="16" fillId="36" borderId="0" xfId="55" applyFont="1" applyFill="1" applyAlignment="1">
      <alignment horizontal="left"/>
      <protection/>
    </xf>
    <xf numFmtId="172" fontId="16" fillId="36" borderId="0" xfId="55" applyNumberFormat="1" applyFont="1" applyFill="1" applyAlignment="1" applyProtection="1">
      <alignment horizontal="center"/>
      <protection/>
    </xf>
    <xf numFmtId="172" fontId="16" fillId="36" borderId="0" xfId="55" applyNumberFormat="1" applyFont="1" applyFill="1">
      <alignment/>
      <protection/>
    </xf>
    <xf numFmtId="175" fontId="18" fillId="36" borderId="0" xfId="55" applyNumberFormat="1" applyFont="1" applyFill="1" applyAlignment="1" applyProtection="1">
      <alignment horizontal="centerContinuous"/>
      <protection/>
    </xf>
    <xf numFmtId="175" fontId="18" fillId="36" borderId="0" xfId="55" applyFont="1" applyFill="1" applyAlignment="1">
      <alignment horizontal="centerContinuous"/>
      <protection/>
    </xf>
    <xf numFmtId="175" fontId="16" fillId="36" borderId="0" xfId="55" applyNumberFormat="1" applyFont="1" applyFill="1" applyAlignment="1" applyProtection="1">
      <alignment horizontal="right"/>
      <protection/>
    </xf>
    <xf numFmtId="175" fontId="18" fillId="36" borderId="0" xfId="55" applyFont="1" applyFill="1">
      <alignment/>
      <protection/>
    </xf>
    <xf numFmtId="175" fontId="18" fillId="36" borderId="0" xfId="55" applyNumberFormat="1" applyFont="1" applyFill="1" applyAlignment="1" applyProtection="1">
      <alignment horizontal="right"/>
      <protection/>
    </xf>
    <xf numFmtId="175" fontId="19" fillId="36" borderId="0" xfId="55" applyFont="1" applyFill="1" applyAlignment="1">
      <alignment horizontal="right"/>
      <protection/>
    </xf>
    <xf numFmtId="3" fontId="16" fillId="36" borderId="0" xfId="55" applyNumberFormat="1" applyFont="1" applyFill="1" applyAlignment="1" applyProtection="1">
      <alignment horizontal="right"/>
      <protection/>
    </xf>
    <xf numFmtId="172" fontId="16" fillId="36" borderId="0" xfId="55" applyNumberFormat="1" applyFont="1" applyFill="1" applyAlignment="1" applyProtection="1">
      <alignment horizontal="right"/>
      <protection/>
    </xf>
    <xf numFmtId="3" fontId="18" fillId="36" borderId="0" xfId="55" applyNumberFormat="1" applyFont="1" applyFill="1" applyAlignment="1" applyProtection="1">
      <alignment horizontal="right"/>
      <protection/>
    </xf>
    <xf numFmtId="175" fontId="16" fillId="36" borderId="0" xfId="55" applyFont="1" applyFill="1" applyAlignment="1">
      <alignment horizontal="right"/>
      <protection/>
    </xf>
    <xf numFmtId="175" fontId="20" fillId="36" borderId="0" xfId="55" applyNumberFormat="1" applyFont="1" applyFill="1" applyAlignment="1" applyProtection="1">
      <alignment horizontal="centerContinuous"/>
      <protection/>
    </xf>
    <xf numFmtId="175" fontId="20" fillId="36" borderId="0" xfId="55" applyFont="1" applyFill="1" applyAlignment="1">
      <alignment horizontal="centerContinuous"/>
      <protection/>
    </xf>
    <xf numFmtId="175" fontId="21" fillId="36" borderId="0" xfId="55" applyNumberFormat="1" applyFont="1" applyFill="1" applyAlignment="1" applyProtection="1">
      <alignment horizontal="centerContinuous"/>
      <protection/>
    </xf>
    <xf numFmtId="175" fontId="21" fillId="36" borderId="0" xfId="55" applyFont="1" applyFill="1" applyAlignment="1">
      <alignment horizontal="centerContinuous"/>
      <protection/>
    </xf>
    <xf numFmtId="3" fontId="16" fillId="36" borderId="0" xfId="55" applyNumberFormat="1" applyFont="1" applyFill="1" applyAlignment="1" applyProtection="1">
      <alignment horizontal="center"/>
      <protection/>
    </xf>
    <xf numFmtId="3" fontId="16" fillId="36" borderId="0" xfId="55" applyNumberFormat="1" applyFont="1" applyFill="1">
      <alignment/>
      <protection/>
    </xf>
    <xf numFmtId="49" fontId="16" fillId="36" borderId="0" xfId="55" applyNumberFormat="1" applyFont="1" applyFill="1" applyAlignment="1" applyProtection="1">
      <alignment horizontal="center"/>
      <protection/>
    </xf>
    <xf numFmtId="175" fontId="16" fillId="36" borderId="0" xfId="55" applyNumberFormat="1" applyFont="1" applyFill="1" applyAlignment="1" applyProtection="1" quotePrefix="1">
      <alignment horizontal="left"/>
      <protection/>
    </xf>
    <xf numFmtId="175" fontId="22" fillId="36" borderId="0" xfId="55" applyNumberFormat="1" applyFont="1" applyFill="1" applyAlignment="1" applyProtection="1">
      <alignment horizontal="centerContinuous"/>
      <protection/>
    </xf>
    <xf numFmtId="175" fontId="22" fillId="36" borderId="0" xfId="55" applyFont="1" applyFill="1" applyAlignment="1">
      <alignment horizontal="centerContinuous"/>
      <protection/>
    </xf>
    <xf numFmtId="175" fontId="23" fillId="36" borderId="0" xfId="55" applyFont="1" applyFill="1" applyAlignment="1">
      <alignment horizontal="centerContinuous"/>
      <protection/>
    </xf>
    <xf numFmtId="175" fontId="23" fillId="36" borderId="0" xfId="55" applyNumberFormat="1" applyFont="1" applyFill="1" applyAlignment="1" applyProtection="1">
      <alignment horizontal="centerContinuous"/>
      <protection/>
    </xf>
    <xf numFmtId="175" fontId="23" fillId="36" borderId="0" xfId="55" applyFont="1" applyFill="1">
      <alignment/>
      <protection/>
    </xf>
    <xf numFmtId="175" fontId="23" fillId="36" borderId="0" xfId="55" applyNumberFormat="1" applyFont="1" applyFill="1" applyAlignment="1" applyProtection="1">
      <alignment horizontal="center"/>
      <protection/>
    </xf>
    <xf numFmtId="175" fontId="23" fillId="36" borderId="0" xfId="55" applyNumberFormat="1" applyFont="1" applyFill="1" applyAlignment="1" applyProtection="1">
      <alignment horizontal="fill"/>
      <protection/>
    </xf>
    <xf numFmtId="175" fontId="23" fillId="36" borderId="0" xfId="55" applyNumberFormat="1" applyFont="1" applyFill="1" applyAlignment="1" applyProtection="1">
      <alignment horizontal="left"/>
      <protection/>
    </xf>
    <xf numFmtId="175" fontId="24" fillId="36" borderId="0" xfId="55" applyNumberFormat="1" applyFont="1" applyFill="1" applyAlignment="1" applyProtection="1">
      <alignment horizontal="center"/>
      <protection/>
    </xf>
    <xf numFmtId="172" fontId="23" fillId="36" borderId="0" xfId="55" applyNumberFormat="1" applyFont="1" applyFill="1" applyAlignment="1" applyProtection="1">
      <alignment horizontal="center"/>
      <protection/>
    </xf>
    <xf numFmtId="175" fontId="23" fillId="36" borderId="0" xfId="55" applyNumberFormat="1" applyFont="1" applyFill="1" applyAlignment="1" applyProtection="1">
      <alignment horizontal="right"/>
      <protection/>
    </xf>
    <xf numFmtId="175" fontId="19" fillId="36" borderId="0" xfId="55" applyFont="1" applyFill="1" applyAlignment="1">
      <alignment horizontal="center"/>
      <protection/>
    </xf>
    <xf numFmtId="175" fontId="25" fillId="36" borderId="0" xfId="55" applyNumberFormat="1" applyFont="1" applyFill="1" applyAlignment="1" applyProtection="1">
      <alignment horizontal="centerContinuous"/>
      <protection/>
    </xf>
    <xf numFmtId="175" fontId="26" fillId="36" borderId="0" xfId="55" applyNumberFormat="1" applyFont="1" applyFill="1" applyAlignment="1" applyProtection="1">
      <alignment horizontal="centerContinuous"/>
      <protection/>
    </xf>
    <xf numFmtId="175" fontId="26" fillId="36" borderId="0" xfId="55" applyFont="1" applyFill="1" applyAlignment="1">
      <alignment horizontal="centerContinuous"/>
      <protection/>
    </xf>
    <xf numFmtId="175" fontId="26" fillId="36" borderId="0" xfId="55" applyNumberFormat="1" applyFont="1" applyFill="1" applyAlignment="1" applyProtection="1">
      <alignment horizontal="center"/>
      <protection/>
    </xf>
    <xf numFmtId="175" fontId="26" fillId="36" borderId="0" xfId="55" applyFont="1" applyFill="1">
      <alignment/>
      <protection/>
    </xf>
    <xf numFmtId="175" fontId="27" fillId="36" borderId="0" xfId="55" applyNumberFormat="1" applyFont="1" applyFill="1" applyAlignment="1" applyProtection="1">
      <alignment horizontal="center"/>
      <protection/>
    </xf>
    <xf numFmtId="175" fontId="17" fillId="36" borderId="0" xfId="55" applyNumberFormat="1" applyFont="1" applyFill="1" applyAlignment="1" applyProtection="1" quotePrefix="1">
      <alignment horizontal="center"/>
      <protection/>
    </xf>
    <xf numFmtId="3" fontId="26" fillId="36" borderId="0" xfId="55" applyNumberFormat="1" applyFont="1" applyFill="1" applyAlignment="1" applyProtection="1">
      <alignment horizontal="center"/>
      <protection/>
    </xf>
    <xf numFmtId="172" fontId="26" fillId="36" borderId="0" xfId="55" applyNumberFormat="1" applyFont="1" applyFill="1" applyAlignment="1" applyProtection="1">
      <alignment horizontal="center"/>
      <protection/>
    </xf>
    <xf numFmtId="172" fontId="26" fillId="36" borderId="0" xfId="55" applyNumberFormat="1" applyFont="1" applyFill="1">
      <alignment/>
      <protection/>
    </xf>
    <xf numFmtId="3" fontId="26" fillId="36" borderId="0" xfId="55" applyNumberFormat="1" applyFont="1" applyFill="1">
      <alignment/>
      <protection/>
    </xf>
    <xf numFmtId="3" fontId="27" fillId="36" borderId="0" xfId="55" applyNumberFormat="1" applyFont="1" applyFill="1" applyAlignment="1" applyProtection="1">
      <alignment horizontal="center"/>
      <protection/>
    </xf>
    <xf numFmtId="172" fontId="27" fillId="36" borderId="0" xfId="55" applyNumberFormat="1" applyFont="1" applyFill="1" applyAlignment="1" applyProtection="1">
      <alignment horizontal="center"/>
      <protection/>
    </xf>
    <xf numFmtId="175" fontId="26" fillId="36" borderId="0" xfId="55" applyNumberFormat="1" applyFont="1" applyFill="1" applyAlignment="1" applyProtection="1" quotePrefix="1">
      <alignment horizontal="left"/>
      <protection/>
    </xf>
    <xf numFmtId="175" fontId="28" fillId="36" borderId="0" xfId="55" applyNumberFormat="1" applyFont="1" applyFill="1" applyAlignment="1" applyProtection="1">
      <alignment horizontal="centerContinuous"/>
      <protection/>
    </xf>
    <xf numFmtId="175" fontId="28" fillId="36" borderId="19" xfId="55" applyFont="1" applyFill="1" applyBorder="1" applyAlignment="1">
      <alignment horizontal="centerContinuous"/>
      <protection/>
    </xf>
    <xf numFmtId="175" fontId="29" fillId="36" borderId="19" xfId="55" applyFont="1" applyFill="1" applyBorder="1" applyAlignment="1">
      <alignment horizontal="centerContinuous"/>
      <protection/>
    </xf>
    <xf numFmtId="175" fontId="21" fillId="36" borderId="19" xfId="55" applyFont="1" applyFill="1" applyBorder="1" applyAlignment="1">
      <alignment horizontal="centerContinuous"/>
      <protection/>
    </xf>
    <xf numFmtId="175" fontId="28" fillId="36" borderId="0" xfId="55" applyNumberFormat="1" applyFont="1" applyFill="1" applyAlignment="1" applyProtection="1">
      <alignment horizontal="left"/>
      <protection/>
    </xf>
    <xf numFmtId="175" fontId="28" fillId="36" borderId="0" xfId="55" applyFont="1" applyFill="1">
      <alignment/>
      <protection/>
    </xf>
    <xf numFmtId="0" fontId="28" fillId="36" borderId="0" xfId="57" applyFont="1" applyFill="1">
      <alignment/>
      <protection/>
    </xf>
    <xf numFmtId="189" fontId="28" fillId="36" borderId="0" xfId="57" applyNumberFormat="1" applyFont="1" applyFill="1">
      <alignment/>
      <protection/>
    </xf>
    <xf numFmtId="3" fontId="28" fillId="36" borderId="0" xfId="55" applyNumberFormat="1" applyFont="1" applyFill="1" applyAlignment="1" applyProtection="1">
      <alignment horizontal="right"/>
      <protection/>
    </xf>
    <xf numFmtId="175" fontId="28" fillId="36" borderId="0" xfId="55" applyNumberFormat="1" applyFont="1" applyFill="1" applyAlignment="1" applyProtection="1" quotePrefix="1">
      <alignment horizontal="left"/>
      <protection/>
    </xf>
    <xf numFmtId="0" fontId="5" fillId="0" borderId="0" xfId="57" applyFont="1">
      <alignment/>
      <protection/>
    </xf>
    <xf numFmtId="0" fontId="9" fillId="35" borderId="20" xfId="0" applyFont="1" applyFill="1" applyBorder="1" applyAlignment="1">
      <alignment horizontal="centerContinuous"/>
    </xf>
    <xf numFmtId="0" fontId="9" fillId="35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horizontal="centerContinuous"/>
    </xf>
    <xf numFmtId="0" fontId="9" fillId="35" borderId="25" xfId="0" applyFont="1" applyFill="1" applyBorder="1" applyAlignment="1">
      <alignment horizontal="centerContinuous"/>
    </xf>
    <xf numFmtId="0" fontId="9" fillId="35" borderId="26" xfId="0" applyFont="1" applyFill="1" applyBorder="1" applyAlignment="1">
      <alignment horizontal="centerContinuous"/>
    </xf>
    <xf numFmtId="0" fontId="9" fillId="35" borderId="0" xfId="0" applyFont="1" applyFill="1" applyAlignment="1">
      <alignment/>
    </xf>
    <xf numFmtId="0" fontId="9" fillId="35" borderId="27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centerContinuous"/>
    </xf>
    <xf numFmtId="0" fontId="9" fillId="35" borderId="29" xfId="0" applyFont="1" applyFill="1" applyBorder="1" applyAlignment="1">
      <alignment horizontal="centerContinuous"/>
    </xf>
    <xf numFmtId="0" fontId="9" fillId="35" borderId="30" xfId="0" applyFont="1" applyFill="1" applyBorder="1" applyAlignment="1">
      <alignment horizontal="centerContinuous"/>
    </xf>
    <xf numFmtId="0" fontId="9" fillId="35" borderId="31" xfId="0" applyFont="1" applyFill="1" applyBorder="1" applyAlignment="1">
      <alignment horizontal="left"/>
    </xf>
    <xf numFmtId="0" fontId="9" fillId="35" borderId="32" xfId="0" applyFont="1" applyFill="1" applyBorder="1" applyAlignment="1">
      <alignment horizontal="centerContinuous"/>
    </xf>
    <xf numFmtId="0" fontId="9" fillId="35" borderId="33" xfId="0" applyFont="1" applyFill="1" applyBorder="1" applyAlignment="1">
      <alignment horizontal="centerContinuous"/>
    </xf>
    <xf numFmtId="0" fontId="9" fillId="35" borderId="27" xfId="0" applyFont="1" applyFill="1" applyBorder="1" applyAlignment="1">
      <alignment horizontal="center"/>
    </xf>
    <xf numFmtId="165" fontId="9" fillId="35" borderId="28" xfId="42" applyNumberFormat="1" applyFont="1" applyFill="1" applyBorder="1" applyAlignment="1">
      <alignment horizontal="right"/>
    </xf>
    <xf numFmtId="165" fontId="9" fillId="35" borderId="29" xfId="42" applyNumberFormat="1" applyFont="1" applyFill="1" applyBorder="1" applyAlignment="1">
      <alignment horizontal="right"/>
    </xf>
    <xf numFmtId="165" fontId="9" fillId="35" borderId="30" xfId="42" applyNumberFormat="1" applyFont="1" applyFill="1" applyBorder="1" applyAlignment="1">
      <alignment horizontal="right"/>
    </xf>
    <xf numFmtId="0" fontId="9" fillId="35" borderId="34" xfId="0" applyFont="1" applyFill="1" applyBorder="1" applyAlignment="1">
      <alignment horizontal="center"/>
    </xf>
    <xf numFmtId="3" fontId="9" fillId="35" borderId="0" xfId="42" applyNumberFormat="1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165" fontId="9" fillId="35" borderId="35" xfId="42" applyNumberFormat="1" applyFont="1" applyFill="1" applyBorder="1" applyAlignment="1">
      <alignment horizontal="right"/>
    </xf>
    <xf numFmtId="165" fontId="9" fillId="35" borderId="0" xfId="42" applyNumberFormat="1" applyFont="1" applyFill="1" applyBorder="1" applyAlignment="1">
      <alignment horizontal="right"/>
    </xf>
    <xf numFmtId="165" fontId="9" fillId="35" borderId="36" xfId="42" applyNumberFormat="1" applyFont="1" applyFill="1" applyBorder="1" applyAlignment="1">
      <alignment horizontal="right"/>
    </xf>
    <xf numFmtId="165" fontId="9" fillId="35" borderId="32" xfId="42" applyNumberFormat="1" applyFont="1" applyFill="1" applyBorder="1" applyAlignment="1">
      <alignment horizontal="right"/>
    </xf>
    <xf numFmtId="165" fontId="9" fillId="35" borderId="33" xfId="42" applyNumberFormat="1" applyFont="1" applyFill="1" applyBorder="1" applyAlignment="1">
      <alignment horizontal="right"/>
    </xf>
    <xf numFmtId="165" fontId="9" fillId="35" borderId="20" xfId="42" applyNumberFormat="1" applyFont="1" applyFill="1" applyBorder="1" applyAlignment="1">
      <alignment horizontal="right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165" fontId="9" fillId="35" borderId="35" xfId="42" applyNumberFormat="1" applyFont="1" applyFill="1" applyBorder="1" applyAlignment="1">
      <alignment/>
    </xf>
    <xf numFmtId="165" fontId="9" fillId="35" borderId="0" xfId="42" applyNumberFormat="1" applyFont="1" applyFill="1" applyBorder="1" applyAlignment="1">
      <alignment/>
    </xf>
    <xf numFmtId="165" fontId="9" fillId="35" borderId="36" xfId="42" applyNumberFormat="1" applyFont="1" applyFill="1" applyBorder="1" applyAlignment="1">
      <alignment/>
    </xf>
    <xf numFmtId="165" fontId="9" fillId="35" borderId="32" xfId="42" applyNumberFormat="1" applyFont="1" applyFill="1" applyBorder="1" applyAlignment="1">
      <alignment/>
    </xf>
    <xf numFmtId="165" fontId="9" fillId="35" borderId="33" xfId="42" applyNumberFormat="1" applyFont="1" applyFill="1" applyBorder="1" applyAlignment="1">
      <alignment/>
    </xf>
    <xf numFmtId="165" fontId="9" fillId="35" borderId="20" xfId="42" applyNumberFormat="1" applyFont="1" applyFill="1" applyBorder="1" applyAlignment="1">
      <alignment/>
    </xf>
    <xf numFmtId="0" fontId="9" fillId="35" borderId="0" xfId="0" applyFont="1" applyFill="1" applyAlignment="1" quotePrefix="1">
      <alignment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36" xfId="0" applyFont="1" applyFill="1" applyBorder="1" applyAlignment="1" quotePrefix="1">
      <alignment horizontal="center"/>
    </xf>
    <xf numFmtId="165" fontId="9" fillId="35" borderId="0" xfId="42" applyNumberFormat="1" applyFont="1" applyFill="1" applyBorder="1" applyAlignment="1">
      <alignment/>
    </xf>
    <xf numFmtId="166" fontId="9" fillId="35" borderId="0" xfId="42" applyNumberFormat="1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165" fontId="9" fillId="35" borderId="33" xfId="0" applyNumberFormat="1" applyFont="1" applyFill="1" applyBorder="1" applyAlignment="1">
      <alignment/>
    </xf>
    <xf numFmtId="165" fontId="9" fillId="35" borderId="20" xfId="0" applyNumberFormat="1" applyFont="1" applyFill="1" applyBorder="1" applyAlignment="1">
      <alignment/>
    </xf>
    <xf numFmtId="0" fontId="9" fillId="35" borderId="39" xfId="0" applyFont="1" applyFill="1" applyBorder="1" applyAlignment="1">
      <alignment horizontal="centerContinuous"/>
    </xf>
    <xf numFmtId="0" fontId="9" fillId="35" borderId="39" xfId="0" applyFont="1" applyFill="1" applyBorder="1" applyAlignment="1" quotePrefix="1">
      <alignment horizontal="centerContinuous"/>
    </xf>
    <xf numFmtId="0" fontId="9" fillId="35" borderId="27" xfId="0" applyFont="1" applyFill="1" applyBorder="1" applyAlignment="1">
      <alignment horizontal="centerContinuous"/>
    </xf>
    <xf numFmtId="0" fontId="9" fillId="35" borderId="27" xfId="0" applyFont="1" applyFill="1" applyBorder="1" applyAlignment="1" quotePrefix="1">
      <alignment horizontal="centerContinuous"/>
    </xf>
    <xf numFmtId="0" fontId="9" fillId="35" borderId="38" xfId="0" applyFont="1" applyFill="1" applyBorder="1" applyAlignment="1" quotePrefix="1">
      <alignment horizontal="center"/>
    </xf>
    <xf numFmtId="0" fontId="9" fillId="35" borderId="22" xfId="0" applyFont="1" applyFill="1" applyBorder="1" applyAlignment="1" quotePrefix="1">
      <alignment horizontal="center"/>
    </xf>
    <xf numFmtId="166" fontId="9" fillId="35" borderId="0" xfId="42" applyNumberFormat="1" applyFont="1" applyFill="1" applyBorder="1" applyAlignment="1">
      <alignment horizontal="center"/>
    </xf>
    <xf numFmtId="166" fontId="9" fillId="35" borderId="26" xfId="42" applyNumberFormat="1" applyFont="1" applyFill="1" applyBorder="1" applyAlignment="1" quotePrefix="1">
      <alignment horizontal="center"/>
    </xf>
    <xf numFmtId="166" fontId="9" fillId="35" borderId="36" xfId="42" applyNumberFormat="1" applyFont="1" applyFill="1" applyBorder="1" applyAlignment="1" quotePrefix="1">
      <alignment horizontal="center"/>
    </xf>
    <xf numFmtId="166" fontId="9" fillId="35" borderId="40" xfId="42" applyNumberFormat="1" applyFont="1" applyFill="1" applyBorder="1" applyAlignment="1">
      <alignment horizontal="center"/>
    </xf>
    <xf numFmtId="166" fontId="9" fillId="35" borderId="36" xfId="42" applyNumberFormat="1" applyFont="1" applyFill="1" applyBorder="1" applyAlignment="1">
      <alignment horizontal="center"/>
    </xf>
    <xf numFmtId="166" fontId="9" fillId="35" borderId="21" xfId="42" applyNumberFormat="1" applyFont="1" applyFill="1" applyBorder="1" applyAlignment="1">
      <alignment horizontal="center"/>
    </xf>
    <xf numFmtId="166" fontId="9" fillId="35" borderId="41" xfId="42" applyNumberFormat="1" applyFont="1" applyFill="1" applyBorder="1" applyAlignment="1">
      <alignment horizontal="center"/>
    </xf>
    <xf numFmtId="166" fontId="9" fillId="35" borderId="42" xfId="42" applyNumberFormat="1" applyFont="1" applyFill="1" applyBorder="1" applyAlignment="1">
      <alignment horizontal="center"/>
    </xf>
    <xf numFmtId="166" fontId="9" fillId="35" borderId="33" xfId="42" applyNumberFormat="1" applyFont="1" applyFill="1" applyBorder="1" applyAlignment="1">
      <alignment horizontal="center"/>
    </xf>
    <xf numFmtId="166" fontId="9" fillId="35" borderId="20" xfId="42" applyNumberFormat="1" applyFont="1" applyFill="1" applyBorder="1" applyAlignment="1">
      <alignment horizontal="center"/>
    </xf>
    <xf numFmtId="0" fontId="9" fillId="35" borderId="2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166" fontId="9" fillId="35" borderId="40" xfId="42" applyNumberFormat="1" applyFont="1" applyFill="1" applyBorder="1" applyAlignment="1">
      <alignment/>
    </xf>
    <xf numFmtId="166" fontId="9" fillId="35" borderId="36" xfId="42" applyNumberFormat="1" applyFont="1" applyFill="1" applyBorder="1" applyAlignment="1">
      <alignment/>
    </xf>
    <xf numFmtId="166" fontId="9" fillId="35" borderId="0" xfId="42" applyNumberFormat="1" applyFont="1" applyFill="1" applyBorder="1" applyAlignment="1" quotePrefix="1">
      <alignment horizontal="right"/>
    </xf>
    <xf numFmtId="0" fontId="9" fillId="35" borderId="21" xfId="0" applyFont="1" applyFill="1" applyBorder="1" applyAlignment="1">
      <alignment/>
    </xf>
    <xf numFmtId="166" fontId="9" fillId="35" borderId="41" xfId="42" applyNumberFormat="1" applyFont="1" applyFill="1" applyBorder="1" applyAlignment="1">
      <alignment/>
    </xf>
    <xf numFmtId="166" fontId="9" fillId="35" borderId="42" xfId="42" applyNumberFormat="1" applyFont="1" applyFill="1" applyBorder="1" applyAlignment="1">
      <alignment/>
    </xf>
    <xf numFmtId="166" fontId="9" fillId="35" borderId="29" xfId="42" applyNumberFormat="1" applyFont="1" applyFill="1" applyBorder="1" applyAlignment="1">
      <alignment/>
    </xf>
    <xf numFmtId="166" fontId="9" fillId="35" borderId="30" xfId="42" applyNumberFormat="1" applyFont="1" applyFill="1" applyBorder="1" applyAlignment="1">
      <alignment/>
    </xf>
    <xf numFmtId="166" fontId="9" fillId="35" borderId="33" xfId="42" applyNumberFormat="1" applyFont="1" applyFill="1" applyBorder="1" applyAlignment="1">
      <alignment/>
    </xf>
    <xf numFmtId="166" fontId="9" fillId="35" borderId="20" xfId="42" applyNumberFormat="1" applyFont="1" applyFill="1" applyBorder="1" applyAlignment="1">
      <alignment/>
    </xf>
    <xf numFmtId="166" fontId="9" fillId="35" borderId="0" xfId="42" applyNumberFormat="1" applyFont="1" applyFill="1" applyAlignment="1">
      <alignment/>
    </xf>
    <xf numFmtId="172" fontId="9" fillId="35" borderId="0" xfId="0" applyNumberFormat="1" applyFont="1" applyFill="1" applyAlignment="1">
      <alignment/>
    </xf>
    <xf numFmtId="0" fontId="9" fillId="35" borderId="10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 horizontal="centerContinuous"/>
    </xf>
    <xf numFmtId="0" fontId="9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166" fontId="9" fillId="35" borderId="11" xfId="42" applyNumberFormat="1" applyFont="1" applyFill="1" applyBorder="1" applyAlignment="1">
      <alignment/>
    </xf>
    <xf numFmtId="166" fontId="9" fillId="35" borderId="12" xfId="42" applyNumberFormat="1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6" fontId="11" fillId="35" borderId="11" xfId="42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175" fontId="9" fillId="35" borderId="0" xfId="56" applyFont="1" applyFill="1">
      <alignment/>
      <protection/>
    </xf>
    <xf numFmtId="175" fontId="11" fillId="35" borderId="0" xfId="56" applyFont="1" applyFill="1" applyAlignment="1">
      <alignment horizontal="centerContinuous"/>
      <protection/>
    </xf>
    <xf numFmtId="175" fontId="9" fillId="35" borderId="0" xfId="56" applyNumberFormat="1" applyFont="1" applyFill="1" applyAlignment="1" applyProtection="1">
      <alignment horizontal="centerContinuous"/>
      <protection/>
    </xf>
    <xf numFmtId="175" fontId="9" fillId="35" borderId="0" xfId="56" applyFont="1" applyFill="1" applyAlignment="1">
      <alignment horizontal="centerContinuous"/>
      <protection/>
    </xf>
    <xf numFmtId="175" fontId="15" fillId="35" borderId="0" xfId="56" applyNumberFormat="1" applyFont="1" applyFill="1" applyAlignment="1" applyProtection="1">
      <alignment horizontal="centerContinuous"/>
      <protection/>
    </xf>
    <xf numFmtId="175" fontId="15" fillId="35" borderId="0" xfId="56" applyFont="1" applyFill="1" applyAlignment="1">
      <alignment horizontal="centerContinuous"/>
      <protection/>
    </xf>
    <xf numFmtId="0" fontId="0" fillId="35" borderId="0" xfId="0" applyFill="1" applyAlignment="1">
      <alignment/>
    </xf>
    <xf numFmtId="165" fontId="9" fillId="35" borderId="31" xfId="42" applyNumberFormat="1" applyFont="1" applyFill="1" applyBorder="1" applyAlignment="1">
      <alignment/>
    </xf>
    <xf numFmtId="165" fontId="9" fillId="35" borderId="22" xfId="42" applyNumberFormat="1" applyFont="1" applyFill="1" applyBorder="1" applyAlignment="1">
      <alignment/>
    </xf>
    <xf numFmtId="165" fontId="9" fillId="35" borderId="0" xfId="0" applyNumberFormat="1" applyFont="1" applyFill="1" applyAlignment="1">
      <alignment/>
    </xf>
    <xf numFmtId="0" fontId="10" fillId="35" borderId="24" xfId="0" applyFont="1" applyFill="1" applyBorder="1" applyAlignment="1">
      <alignment horizontal="left"/>
    </xf>
    <xf numFmtId="0" fontId="10" fillId="35" borderId="24" xfId="0" applyFont="1" applyFill="1" applyBorder="1" applyAlignment="1">
      <alignment horizontal="centerContinuous"/>
    </xf>
    <xf numFmtId="0" fontId="10" fillId="35" borderId="25" xfId="0" applyFont="1" applyFill="1" applyBorder="1" applyAlignment="1">
      <alignment horizontal="centerContinuous"/>
    </xf>
    <xf numFmtId="0" fontId="10" fillId="35" borderId="26" xfId="0" applyFont="1" applyFill="1" applyBorder="1" applyAlignment="1">
      <alignment horizontal="centerContinuous"/>
    </xf>
    <xf numFmtId="0" fontId="10" fillId="35" borderId="34" xfId="0" applyFont="1" applyFill="1" applyBorder="1" applyAlignment="1">
      <alignment horizontal="left"/>
    </xf>
    <xf numFmtId="0" fontId="10" fillId="35" borderId="21" xfId="0" applyFont="1" applyFill="1" applyBorder="1" applyAlignment="1">
      <alignment horizontal="centerContinuous"/>
    </xf>
    <xf numFmtId="0" fontId="10" fillId="35" borderId="41" xfId="0" applyFont="1" applyFill="1" applyBorder="1" applyAlignment="1">
      <alignment horizontal="centerContinuous"/>
    </xf>
    <xf numFmtId="0" fontId="10" fillId="35" borderId="42" xfId="0" applyFont="1" applyFill="1" applyBorder="1" applyAlignment="1">
      <alignment horizontal="centerContinuous"/>
    </xf>
    <xf numFmtId="0" fontId="10" fillId="35" borderId="21" xfId="0" applyFont="1" applyFill="1" applyBorder="1" applyAlignment="1">
      <alignment horizontal="center"/>
    </xf>
    <xf numFmtId="0" fontId="10" fillId="35" borderId="4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165" fontId="10" fillId="35" borderId="0" xfId="42" applyNumberFormat="1" applyFont="1" applyFill="1" applyAlignment="1">
      <alignment horizontal="center"/>
    </xf>
    <xf numFmtId="3" fontId="9" fillId="35" borderId="29" xfId="0" applyNumberFormat="1" applyFont="1" applyFill="1" applyBorder="1" applyAlignment="1">
      <alignment horizontal="centerContinuous"/>
    </xf>
    <xf numFmtId="3" fontId="9" fillId="35" borderId="0" xfId="0" applyNumberFormat="1" applyFont="1" applyFill="1" applyBorder="1" applyAlignment="1">
      <alignment horizontal="centerContinuous"/>
    </xf>
    <xf numFmtId="3" fontId="9" fillId="35" borderId="23" xfId="0" applyNumberFormat="1" applyFont="1" applyFill="1" applyBorder="1" applyAlignment="1">
      <alignment horizontal="center"/>
    </xf>
    <xf numFmtId="3" fontId="9" fillId="35" borderId="30" xfId="0" applyNumberFormat="1" applyFont="1" applyFill="1" applyBorder="1" applyAlignment="1">
      <alignment horizontal="centerContinuous"/>
    </xf>
    <xf numFmtId="3" fontId="9" fillId="35" borderId="36" xfId="0" applyNumberFormat="1" applyFont="1" applyFill="1" applyBorder="1" applyAlignment="1">
      <alignment horizontal="centerContinuous"/>
    </xf>
    <xf numFmtId="0" fontId="9" fillId="35" borderId="36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3" fontId="9" fillId="35" borderId="36" xfId="42" applyNumberFormat="1" applyFont="1" applyFill="1" applyBorder="1" applyAlignment="1">
      <alignment horizontal="center"/>
    </xf>
    <xf numFmtId="3" fontId="9" fillId="35" borderId="33" xfId="42" applyNumberFormat="1" applyFont="1" applyFill="1" applyBorder="1" applyAlignment="1">
      <alignment horizontal="center"/>
    </xf>
    <xf numFmtId="3" fontId="9" fillId="35" borderId="20" xfId="42" applyNumberFormat="1" applyFont="1" applyFill="1" applyBorder="1" applyAlignment="1">
      <alignment horizontal="center"/>
    </xf>
    <xf numFmtId="0" fontId="9" fillId="35" borderId="20" xfId="0" applyFont="1" applyFill="1" applyBorder="1" applyAlignment="1" quotePrefix="1">
      <alignment horizontal="center"/>
    </xf>
    <xf numFmtId="166" fontId="9" fillId="35" borderId="0" xfId="0" applyNumberFormat="1" applyFont="1" applyFill="1" applyAlignment="1">
      <alignment/>
    </xf>
    <xf numFmtId="0" fontId="9" fillId="35" borderId="12" xfId="0" applyFont="1" applyFill="1" applyBorder="1" applyAlignment="1">
      <alignment/>
    </xf>
    <xf numFmtId="165" fontId="9" fillId="35" borderId="32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9" fillId="36" borderId="27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3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65" fontId="9" fillId="36" borderId="35" xfId="42" applyNumberFormat="1" applyFont="1" applyFill="1" applyBorder="1" applyAlignment="1">
      <alignment/>
    </xf>
    <xf numFmtId="165" fontId="9" fillId="36" borderId="0" xfId="42" applyNumberFormat="1" applyFont="1" applyFill="1" applyBorder="1" applyAlignment="1">
      <alignment/>
    </xf>
    <xf numFmtId="165" fontId="9" fillId="36" borderId="36" xfId="42" applyNumberFormat="1" applyFont="1" applyFill="1" applyBorder="1" applyAlignment="1">
      <alignment/>
    </xf>
    <xf numFmtId="165" fontId="9" fillId="36" borderId="20" xfId="42" applyNumberFormat="1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165" fontId="9" fillId="36" borderId="32" xfId="0" applyNumberFormat="1" applyFont="1" applyFill="1" applyBorder="1" applyAlignment="1">
      <alignment/>
    </xf>
    <xf numFmtId="165" fontId="9" fillId="36" borderId="33" xfId="0" applyNumberFormat="1" applyFont="1" applyFill="1" applyBorder="1" applyAlignment="1">
      <alignment/>
    </xf>
    <xf numFmtId="165" fontId="9" fillId="36" borderId="2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36" borderId="27" xfId="0" applyFont="1" applyFill="1" applyBorder="1" applyAlignment="1">
      <alignment horizontal="center"/>
    </xf>
    <xf numFmtId="165" fontId="10" fillId="36" borderId="27" xfId="42" applyNumberFormat="1" applyFont="1" applyFill="1" applyBorder="1" applyAlignment="1">
      <alignment/>
    </xf>
    <xf numFmtId="0" fontId="10" fillId="36" borderId="28" xfId="0" applyFont="1" applyFill="1" applyBorder="1" applyAlignment="1">
      <alignment horizontal="centerContinuous"/>
    </xf>
    <xf numFmtId="0" fontId="10" fillId="36" borderId="29" xfId="0" applyFont="1" applyFill="1" applyBorder="1" applyAlignment="1">
      <alignment horizontal="centerContinuous"/>
    </xf>
    <xf numFmtId="0" fontId="10" fillId="36" borderId="30" xfId="0" applyFont="1" applyFill="1" applyBorder="1" applyAlignment="1">
      <alignment horizontal="centerContinuous"/>
    </xf>
    <xf numFmtId="0" fontId="10" fillId="36" borderId="31" xfId="0" applyFont="1" applyFill="1" applyBorder="1" applyAlignment="1">
      <alignment horizontal="center"/>
    </xf>
    <xf numFmtId="165" fontId="10" fillId="36" borderId="31" xfId="42" applyNumberFormat="1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Continuous"/>
    </xf>
    <xf numFmtId="0" fontId="10" fillId="36" borderId="33" xfId="0" applyFont="1" applyFill="1" applyBorder="1" applyAlignment="1">
      <alignment horizontal="centerContinuous"/>
    </xf>
    <xf numFmtId="0" fontId="10" fillId="36" borderId="20" xfId="0" applyFont="1" applyFill="1" applyBorder="1" applyAlignment="1">
      <alignment horizontal="centerContinuous"/>
    </xf>
    <xf numFmtId="0" fontId="10" fillId="36" borderId="35" xfId="0" applyFont="1" applyFill="1" applyBorder="1" applyAlignment="1">
      <alignment horizontal="centerContinuous"/>
    </xf>
    <xf numFmtId="0" fontId="10" fillId="36" borderId="0" xfId="0" applyFont="1" applyFill="1" applyBorder="1" applyAlignment="1">
      <alignment horizontal="centerContinuous"/>
    </xf>
    <xf numFmtId="0" fontId="10" fillId="36" borderId="36" xfId="0" applyFont="1" applyFill="1" applyBorder="1" applyAlignment="1">
      <alignment horizontal="centerContinuous"/>
    </xf>
    <xf numFmtId="0" fontId="10" fillId="36" borderId="22" xfId="0" applyFont="1" applyFill="1" applyBorder="1" applyAlignment="1">
      <alignment horizontal="center"/>
    </xf>
    <xf numFmtId="165" fontId="10" fillId="36" borderId="22" xfId="42" applyNumberFormat="1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8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165" fontId="10" fillId="36" borderId="31" xfId="42" applyNumberFormat="1" applyFont="1" applyFill="1" applyBorder="1" applyAlignment="1">
      <alignment/>
    </xf>
    <xf numFmtId="165" fontId="10" fillId="36" borderId="35" xfId="42" applyNumberFormat="1" applyFont="1" applyFill="1" applyBorder="1" applyAlignment="1">
      <alignment/>
    </xf>
    <xf numFmtId="165" fontId="10" fillId="36" borderId="0" xfId="42" applyNumberFormat="1" applyFont="1" applyFill="1" applyBorder="1" applyAlignment="1">
      <alignment/>
    </xf>
    <xf numFmtId="165" fontId="10" fillId="36" borderId="36" xfId="42" applyNumberFormat="1" applyFont="1" applyFill="1" applyBorder="1" applyAlignment="1">
      <alignment/>
    </xf>
    <xf numFmtId="166" fontId="10" fillId="36" borderId="35" xfId="42" applyNumberFormat="1" applyFont="1" applyFill="1" applyBorder="1" applyAlignment="1">
      <alignment/>
    </xf>
    <xf numFmtId="166" fontId="10" fillId="36" borderId="0" xfId="42" applyNumberFormat="1" applyFont="1" applyFill="1" applyBorder="1" applyAlignment="1">
      <alignment/>
    </xf>
    <xf numFmtId="166" fontId="10" fillId="36" borderId="36" xfId="42" applyNumberFormat="1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36" xfId="0" applyFont="1" applyFill="1" applyBorder="1" applyAlignment="1">
      <alignment/>
    </xf>
    <xf numFmtId="165" fontId="10" fillId="36" borderId="22" xfId="42" applyNumberFormat="1" applyFont="1" applyFill="1" applyBorder="1" applyAlignment="1">
      <alignment/>
    </xf>
    <xf numFmtId="165" fontId="10" fillId="36" borderId="32" xfId="42" applyNumberFormat="1" applyFont="1" applyFill="1" applyBorder="1" applyAlignment="1">
      <alignment/>
    </xf>
    <xf numFmtId="165" fontId="10" fillId="36" borderId="33" xfId="42" applyNumberFormat="1" applyFont="1" applyFill="1" applyBorder="1" applyAlignment="1">
      <alignment/>
    </xf>
    <xf numFmtId="165" fontId="10" fillId="36" borderId="20" xfId="42" applyNumberFormat="1" applyFont="1" applyFill="1" applyBorder="1" applyAlignment="1">
      <alignment/>
    </xf>
    <xf numFmtId="166" fontId="10" fillId="36" borderId="32" xfId="42" applyNumberFormat="1" applyFont="1" applyFill="1" applyBorder="1" applyAlignment="1">
      <alignment/>
    </xf>
    <xf numFmtId="166" fontId="10" fillId="36" borderId="33" xfId="42" applyNumberFormat="1" applyFont="1" applyFill="1" applyBorder="1" applyAlignment="1">
      <alignment/>
    </xf>
    <xf numFmtId="166" fontId="10" fillId="36" borderId="20" xfId="42" applyNumberFormat="1" applyFont="1" applyFill="1" applyBorder="1" applyAlignment="1">
      <alignment/>
    </xf>
    <xf numFmtId="0" fontId="9" fillId="36" borderId="27" xfId="0" applyFont="1" applyFill="1" applyBorder="1" applyAlignment="1">
      <alignment horizontal="left"/>
    </xf>
    <xf numFmtId="0" fontId="9" fillId="36" borderId="28" xfId="0" applyFont="1" applyFill="1" applyBorder="1" applyAlignment="1">
      <alignment horizontal="centerContinuous"/>
    </xf>
    <xf numFmtId="0" fontId="9" fillId="36" borderId="29" xfId="0" applyFont="1" applyFill="1" applyBorder="1" applyAlignment="1">
      <alignment horizontal="centerContinuous"/>
    </xf>
    <xf numFmtId="0" fontId="9" fillId="36" borderId="32" xfId="0" applyFont="1" applyFill="1" applyBorder="1" applyAlignment="1">
      <alignment horizontal="centerContinuous"/>
    </xf>
    <xf numFmtId="0" fontId="9" fillId="36" borderId="33" xfId="0" applyFont="1" applyFill="1" applyBorder="1" applyAlignment="1">
      <alignment horizontal="centerContinuous"/>
    </xf>
    <xf numFmtId="0" fontId="9" fillId="36" borderId="23" xfId="0" applyFont="1" applyFill="1" applyBorder="1" applyAlignment="1">
      <alignment horizontal="center"/>
    </xf>
    <xf numFmtId="165" fontId="9" fillId="36" borderId="35" xfId="42" applyNumberFormat="1" applyFont="1" applyFill="1" applyBorder="1" applyAlignment="1">
      <alignment/>
    </xf>
    <xf numFmtId="165" fontId="9" fillId="36" borderId="0" xfId="42" applyNumberFormat="1" applyFont="1" applyFill="1" applyBorder="1" applyAlignment="1">
      <alignment horizontal="right"/>
    </xf>
    <xf numFmtId="165" fontId="9" fillId="36" borderId="0" xfId="42" applyNumberFormat="1" applyFont="1" applyFill="1" applyBorder="1" applyAlignment="1">
      <alignment/>
    </xf>
    <xf numFmtId="3" fontId="9" fillId="36" borderId="29" xfId="0" applyNumberFormat="1" applyFont="1" applyFill="1" applyBorder="1" applyAlignment="1">
      <alignment horizontal="centerContinuous"/>
    </xf>
    <xf numFmtId="3" fontId="9" fillId="36" borderId="0" xfId="0" applyNumberFormat="1" applyFont="1" applyFill="1" applyBorder="1" applyAlignment="1">
      <alignment horizontal="centerContinuous"/>
    </xf>
    <xf numFmtId="3" fontId="9" fillId="36" borderId="23" xfId="0" applyNumberFormat="1" applyFont="1" applyFill="1" applyBorder="1" applyAlignment="1">
      <alignment horizontal="center"/>
    </xf>
    <xf numFmtId="3" fontId="9" fillId="36" borderId="0" xfId="42" applyNumberFormat="1" applyFont="1" applyFill="1" applyBorder="1" applyAlignment="1">
      <alignment horizontal="center"/>
    </xf>
    <xf numFmtId="0" fontId="9" fillId="36" borderId="27" xfId="0" applyFont="1" applyFill="1" applyBorder="1" applyAlignment="1">
      <alignment/>
    </xf>
    <xf numFmtId="3" fontId="9" fillId="36" borderId="29" xfId="0" applyNumberFormat="1" applyFont="1" applyFill="1" applyBorder="1" applyAlignment="1">
      <alignment horizontal="left"/>
    </xf>
    <xf numFmtId="0" fontId="9" fillId="36" borderId="31" xfId="0" applyFont="1" applyFill="1" applyBorder="1" applyAlignment="1">
      <alignment horizontal="left"/>
    </xf>
    <xf numFmtId="3" fontId="9" fillId="36" borderId="12" xfId="0" applyNumberFormat="1" applyFont="1" applyFill="1" applyBorder="1" applyAlignment="1">
      <alignment horizontal="center"/>
    </xf>
    <xf numFmtId="3" fontId="9" fillId="36" borderId="0" xfId="42" applyNumberFormat="1" applyFont="1" applyFill="1" applyBorder="1" applyAlignment="1" quotePrefix="1">
      <alignment horizontal="center"/>
    </xf>
    <xf numFmtId="166" fontId="9" fillId="36" borderId="0" xfId="42" applyNumberFormat="1" applyFont="1" applyFill="1" applyBorder="1" applyAlignment="1">
      <alignment horizontal="center"/>
    </xf>
    <xf numFmtId="3" fontId="9" fillId="36" borderId="30" xfId="0" applyNumberFormat="1" applyFont="1" applyFill="1" applyBorder="1" applyAlignment="1">
      <alignment horizontal="centerContinuous"/>
    </xf>
    <xf numFmtId="3" fontId="9" fillId="36" borderId="36" xfId="0" applyNumberFormat="1" applyFont="1" applyFill="1" applyBorder="1" applyAlignment="1">
      <alignment horizontal="centerContinuous"/>
    </xf>
    <xf numFmtId="166" fontId="9" fillId="36" borderId="28" xfId="42" applyNumberFormat="1" applyFont="1" applyFill="1" applyBorder="1" applyAlignment="1">
      <alignment horizontal="center"/>
    </xf>
    <xf numFmtId="166" fontId="9" fillId="36" borderId="29" xfId="42" applyNumberFormat="1" applyFont="1" applyFill="1" applyBorder="1" applyAlignment="1">
      <alignment horizontal="center"/>
    </xf>
    <xf numFmtId="166" fontId="9" fillId="36" borderId="30" xfId="42" applyNumberFormat="1" applyFont="1" applyFill="1" applyBorder="1" applyAlignment="1">
      <alignment horizontal="center"/>
    </xf>
    <xf numFmtId="166" fontId="9" fillId="36" borderId="35" xfId="42" applyNumberFormat="1" applyFont="1" applyFill="1" applyBorder="1" applyAlignment="1">
      <alignment horizontal="center"/>
    </xf>
    <xf numFmtId="3" fontId="9" fillId="36" borderId="36" xfId="42" applyNumberFormat="1" applyFont="1" applyFill="1" applyBorder="1" applyAlignment="1">
      <alignment horizontal="center"/>
    </xf>
    <xf numFmtId="166" fontId="9" fillId="36" borderId="32" xfId="42" applyNumberFormat="1" applyFont="1" applyFill="1" applyBorder="1" applyAlignment="1">
      <alignment horizontal="center"/>
    </xf>
    <xf numFmtId="3" fontId="9" fillId="36" borderId="33" xfId="42" applyNumberFormat="1" applyFont="1" applyFill="1" applyBorder="1" applyAlignment="1">
      <alignment horizontal="center"/>
    </xf>
    <xf numFmtId="3" fontId="9" fillId="36" borderId="20" xfId="42" applyNumberFormat="1" applyFont="1" applyFill="1" applyBorder="1" applyAlignment="1">
      <alignment horizontal="center"/>
    </xf>
    <xf numFmtId="0" fontId="10" fillId="36" borderId="27" xfId="0" applyFont="1" applyFill="1" applyBorder="1" applyAlignment="1">
      <alignment horizontal="left"/>
    </xf>
    <xf numFmtId="0" fontId="10" fillId="36" borderId="23" xfId="0" applyFont="1" applyFill="1" applyBorder="1" applyAlignment="1">
      <alignment horizontal="centerContinuous"/>
    </xf>
    <xf numFmtId="0" fontId="10" fillId="36" borderId="31" xfId="0" applyFont="1" applyFill="1" applyBorder="1" applyAlignment="1">
      <alignment horizontal="left"/>
    </xf>
    <xf numFmtId="174" fontId="10" fillId="36" borderId="27" xfId="0" applyNumberFormat="1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10" fillId="36" borderId="31" xfId="0" applyNumberFormat="1" applyFont="1" applyFill="1" applyBorder="1" applyAlignment="1">
      <alignment horizontal="center"/>
    </xf>
    <xf numFmtId="165" fontId="10" fillId="36" borderId="35" xfId="42" applyNumberFormat="1" applyFont="1" applyFill="1" applyBorder="1" applyAlignment="1">
      <alignment horizontal="center"/>
    </xf>
    <xf numFmtId="165" fontId="10" fillId="36" borderId="0" xfId="42" applyNumberFormat="1" applyFont="1" applyFill="1" applyBorder="1" applyAlignment="1">
      <alignment horizontal="center"/>
    </xf>
    <xf numFmtId="165" fontId="10" fillId="36" borderId="36" xfId="42" applyNumberFormat="1" applyFont="1" applyFill="1" applyBorder="1" applyAlignment="1">
      <alignment horizontal="center"/>
    </xf>
    <xf numFmtId="0" fontId="10" fillId="36" borderId="22" xfId="0" applyNumberFormat="1" applyFont="1" applyFill="1" applyBorder="1" applyAlignment="1">
      <alignment horizontal="center"/>
    </xf>
    <xf numFmtId="165" fontId="10" fillId="36" borderId="32" xfId="42" applyNumberFormat="1" applyFont="1" applyFill="1" applyBorder="1" applyAlignment="1">
      <alignment horizontal="center"/>
    </xf>
    <xf numFmtId="165" fontId="10" fillId="36" borderId="33" xfId="42" applyNumberFormat="1" applyFont="1" applyFill="1" applyBorder="1" applyAlignment="1">
      <alignment horizontal="center"/>
    </xf>
    <xf numFmtId="165" fontId="10" fillId="36" borderId="20" xfId="42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Continuous"/>
    </xf>
    <xf numFmtId="0" fontId="9" fillId="36" borderId="22" xfId="0" applyNumberFormat="1" applyFont="1" applyFill="1" applyBorder="1" applyAlignment="1" quotePrefix="1">
      <alignment horizontal="center"/>
    </xf>
    <xf numFmtId="165" fontId="9" fillId="36" borderId="31" xfId="42" applyNumberFormat="1" applyFont="1" applyFill="1" applyBorder="1" applyAlignment="1">
      <alignment/>
    </xf>
    <xf numFmtId="166" fontId="11" fillId="36" borderId="31" xfId="42" applyNumberFormat="1" applyFont="1" applyFill="1" applyBorder="1" applyAlignment="1">
      <alignment/>
    </xf>
    <xf numFmtId="168" fontId="9" fillId="36" borderId="31" xfId="60" applyNumberFormat="1" applyFont="1" applyFill="1" applyBorder="1" applyAlignment="1">
      <alignment/>
    </xf>
    <xf numFmtId="166" fontId="9" fillId="36" borderId="31" xfId="42" applyNumberFormat="1" applyFont="1" applyFill="1" applyBorder="1" applyAlignment="1">
      <alignment/>
    </xf>
    <xf numFmtId="165" fontId="9" fillId="36" borderId="22" xfId="42" applyNumberFormat="1" applyFont="1" applyFill="1" applyBorder="1" applyAlignment="1">
      <alignment/>
    </xf>
    <xf numFmtId="166" fontId="9" fillId="36" borderId="22" xfId="42" applyNumberFormat="1" applyFont="1" applyFill="1" applyBorder="1" applyAlignment="1">
      <alignment/>
    </xf>
    <xf numFmtId="168" fontId="9" fillId="36" borderId="22" xfId="60" applyNumberFormat="1" applyFont="1" applyFill="1" applyBorder="1" applyAlignment="1">
      <alignment/>
    </xf>
    <xf numFmtId="168" fontId="9" fillId="36" borderId="27" xfId="0" applyNumberFormat="1" applyFont="1" applyFill="1" applyBorder="1" applyAlignment="1">
      <alignment/>
    </xf>
    <xf numFmtId="165" fontId="9" fillId="36" borderId="22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36" borderId="0" xfId="0" applyFont="1" applyFill="1" applyAlignment="1">
      <alignment horizontal="centerContinuous"/>
    </xf>
    <xf numFmtId="0" fontId="9" fillId="36" borderId="0" xfId="0" applyFont="1" applyFill="1" applyAlignment="1">
      <alignment horizontal="centerContinuous"/>
    </xf>
    <xf numFmtId="165" fontId="9" fillId="36" borderId="30" xfId="42" applyNumberFormat="1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168" fontId="9" fillId="36" borderId="12" xfId="60" applyNumberFormat="1" applyFont="1" applyFill="1" applyBorder="1" applyAlignment="1">
      <alignment/>
    </xf>
    <xf numFmtId="0" fontId="11" fillId="36" borderId="0" xfId="0" applyFont="1" applyFill="1" applyAlignment="1">
      <alignment horizontal="center"/>
    </xf>
    <xf numFmtId="168" fontId="9" fillId="36" borderId="0" xfId="60" applyNumberFormat="1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168" fontId="9" fillId="36" borderId="0" xfId="0" applyNumberFormat="1" applyFont="1" applyFill="1" applyAlignment="1">
      <alignment horizontal="center"/>
    </xf>
    <xf numFmtId="175" fontId="9" fillId="36" borderId="0" xfId="56" applyNumberFormat="1" applyFont="1" applyFill="1" applyAlignment="1" applyProtection="1">
      <alignment horizontal="centerContinuous" vertical="center"/>
      <protection/>
    </xf>
    <xf numFmtId="175" fontId="9" fillId="36" borderId="0" xfId="56" applyFont="1" applyFill="1" applyAlignment="1">
      <alignment horizontal="centerContinuous" vertical="center"/>
      <protection/>
    </xf>
    <xf numFmtId="175" fontId="11" fillId="36" borderId="0" xfId="56" applyFont="1" applyFill="1" applyAlignment="1">
      <alignment horizontal="centerContinuous" vertical="center"/>
      <protection/>
    </xf>
    <xf numFmtId="175" fontId="15" fillId="36" borderId="0" xfId="56" applyFont="1" applyFill="1" applyAlignment="1">
      <alignment horizontal="centerContinuous" vertical="center"/>
      <protection/>
    </xf>
    <xf numFmtId="175" fontId="9" fillId="36" borderId="28" xfId="56" applyNumberFormat="1" applyFont="1" applyFill="1" applyBorder="1" applyAlignment="1" applyProtection="1">
      <alignment horizontal="centerContinuous"/>
      <protection/>
    </xf>
    <xf numFmtId="175" fontId="9" fillId="36" borderId="30" xfId="56" applyFont="1" applyFill="1" applyBorder="1" applyAlignment="1">
      <alignment horizontal="centerContinuous"/>
      <protection/>
    </xf>
    <xf numFmtId="175" fontId="9" fillId="36" borderId="0" xfId="56" applyNumberFormat="1" applyFont="1" applyFill="1" applyAlignment="1" applyProtection="1">
      <alignment horizontal="left"/>
      <protection/>
    </xf>
    <xf numFmtId="175" fontId="9" fillId="36" borderId="27" xfId="56" applyNumberFormat="1" applyFont="1" applyFill="1" applyBorder="1" applyAlignment="1" applyProtection="1">
      <alignment horizontal="centerContinuous"/>
      <protection/>
    </xf>
    <xf numFmtId="175" fontId="9" fillId="36" borderId="27" xfId="56" applyNumberFormat="1" applyFont="1" applyFill="1" applyBorder="1" applyAlignment="1" applyProtection="1" quotePrefix="1">
      <alignment horizontal="center"/>
      <protection/>
    </xf>
    <xf numFmtId="175" fontId="9" fillId="36" borderId="35" xfId="56" applyNumberFormat="1" applyFont="1" applyFill="1" applyBorder="1" applyAlignment="1" applyProtection="1">
      <alignment horizontal="centerContinuous"/>
      <protection/>
    </xf>
    <xf numFmtId="175" fontId="9" fillId="36" borderId="36" xfId="56" applyFont="1" applyFill="1" applyBorder="1" applyAlignment="1">
      <alignment horizontal="centerContinuous"/>
      <protection/>
    </xf>
    <xf numFmtId="175" fontId="9" fillId="36" borderId="0" xfId="56" applyFont="1" applyFill="1">
      <alignment/>
      <protection/>
    </xf>
    <xf numFmtId="175" fontId="9" fillId="36" borderId="22" xfId="56" applyNumberFormat="1" applyFont="1" applyFill="1" applyBorder="1" applyAlignment="1" applyProtection="1">
      <alignment horizontal="centerContinuous"/>
      <protection/>
    </xf>
    <xf numFmtId="175" fontId="9" fillId="36" borderId="22" xfId="56" applyNumberFormat="1" applyFont="1" applyFill="1" applyBorder="1" applyAlignment="1" applyProtection="1" quotePrefix="1">
      <alignment horizontal="center"/>
      <protection/>
    </xf>
    <xf numFmtId="175" fontId="9" fillId="36" borderId="31" xfId="56" applyNumberFormat="1" applyFont="1" applyFill="1" applyBorder="1" applyAlignment="1" applyProtection="1">
      <alignment horizontal="centerContinuous"/>
      <protection/>
    </xf>
    <xf numFmtId="175" fontId="9" fillId="36" borderId="31" xfId="56" applyNumberFormat="1" applyFont="1" applyFill="1" applyBorder="1" applyAlignment="1" applyProtection="1">
      <alignment horizontal="left"/>
      <protection/>
    </xf>
    <xf numFmtId="175" fontId="9" fillId="36" borderId="31" xfId="56" applyFont="1" applyFill="1" applyBorder="1" applyAlignment="1">
      <alignment horizontal="centerContinuous"/>
      <protection/>
    </xf>
    <xf numFmtId="175" fontId="9" fillId="36" borderId="0" xfId="56" applyFont="1" applyFill="1" applyAlignment="1">
      <alignment horizontal="centerContinuous"/>
      <protection/>
    </xf>
    <xf numFmtId="175" fontId="9" fillId="36" borderId="32" xfId="56" applyNumberFormat="1" applyFont="1" applyFill="1" applyBorder="1" applyAlignment="1" applyProtection="1">
      <alignment horizontal="centerContinuous"/>
      <protection/>
    </xf>
    <xf numFmtId="175" fontId="9" fillId="36" borderId="20" xfId="56" applyFont="1" applyFill="1" applyBorder="1" applyAlignment="1">
      <alignment horizontal="centerContinuous"/>
      <protection/>
    </xf>
    <xf numFmtId="175" fontId="9" fillId="36" borderId="31" xfId="56" applyFont="1" applyFill="1" applyBorder="1">
      <alignment/>
      <protection/>
    </xf>
    <xf numFmtId="0" fontId="9" fillId="36" borderId="31" xfId="56" applyNumberFormat="1" applyFont="1" applyFill="1" applyBorder="1">
      <alignment/>
      <protection/>
    </xf>
    <xf numFmtId="175" fontId="9" fillId="36" borderId="27" xfId="56" applyFont="1" applyFill="1" applyBorder="1">
      <alignment/>
      <protection/>
    </xf>
    <xf numFmtId="175" fontId="9" fillId="36" borderId="31" xfId="56" applyNumberFormat="1" applyFont="1" applyFill="1" applyBorder="1" applyAlignment="1" applyProtection="1" quotePrefix="1">
      <alignment horizontal="center"/>
      <protection/>
    </xf>
    <xf numFmtId="0" fontId="9" fillId="36" borderId="31" xfId="56" applyNumberFormat="1" applyFont="1" applyFill="1" applyBorder="1" applyAlignment="1" applyProtection="1">
      <alignment horizontal="center"/>
      <protection/>
    </xf>
    <xf numFmtId="37" fontId="9" fillId="36" borderId="31" xfId="56" applyNumberFormat="1" applyFont="1" applyFill="1" applyBorder="1" applyAlignment="1" applyProtection="1">
      <alignment horizontal="center"/>
      <protection/>
    </xf>
    <xf numFmtId="37" fontId="9" fillId="36" borderId="0" xfId="56" applyNumberFormat="1" applyFont="1" applyFill="1" applyProtection="1">
      <alignment/>
      <protection/>
    </xf>
    <xf numFmtId="168" fontId="9" fillId="36" borderId="31" xfId="56" applyNumberFormat="1" applyFont="1" applyFill="1" applyBorder="1" applyAlignment="1" applyProtection="1">
      <alignment horizontal="center"/>
      <protection/>
    </xf>
    <xf numFmtId="0" fontId="9" fillId="36" borderId="31" xfId="0" applyNumberFormat="1" applyFont="1" applyFill="1" applyBorder="1" applyAlignment="1">
      <alignment horizontal="center"/>
    </xf>
    <xf numFmtId="168" fontId="9" fillId="36" borderId="22" xfId="56" applyNumberFormat="1" applyFont="1" applyFill="1" applyBorder="1" applyAlignment="1" applyProtection="1">
      <alignment horizontal="center"/>
      <protection/>
    </xf>
    <xf numFmtId="175" fontId="9" fillId="36" borderId="28" xfId="56" applyFont="1" applyFill="1" applyBorder="1">
      <alignment/>
      <protection/>
    </xf>
    <xf numFmtId="175" fontId="9" fillId="36" borderId="29" xfId="56" applyFont="1" applyFill="1" applyBorder="1">
      <alignment/>
      <protection/>
    </xf>
    <xf numFmtId="175" fontId="9" fillId="36" borderId="30" xfId="56" applyFont="1" applyFill="1" applyBorder="1">
      <alignment/>
      <protection/>
    </xf>
    <xf numFmtId="175" fontId="9" fillId="36" borderId="35" xfId="56" applyFont="1" applyFill="1" applyBorder="1">
      <alignment/>
      <protection/>
    </xf>
    <xf numFmtId="175" fontId="9" fillId="36" borderId="0" xfId="56" applyNumberFormat="1" applyFont="1" applyFill="1" applyBorder="1" applyAlignment="1" applyProtection="1">
      <alignment horizontal="left"/>
      <protection/>
    </xf>
    <xf numFmtId="175" fontId="9" fillId="36" borderId="0" xfId="56" applyFont="1" applyFill="1" applyBorder="1">
      <alignment/>
      <protection/>
    </xf>
    <xf numFmtId="168" fontId="9" fillId="36" borderId="36" xfId="56" applyNumberFormat="1" applyFont="1" applyFill="1" applyBorder="1" applyAlignment="1" applyProtection="1">
      <alignment horizontal="center"/>
      <protection/>
    </xf>
    <xf numFmtId="175" fontId="9" fillId="36" borderId="32" xfId="56" applyFont="1" applyFill="1" applyBorder="1">
      <alignment/>
      <protection/>
    </xf>
    <xf numFmtId="175" fontId="9" fillId="36" borderId="33" xfId="56" applyNumberFormat="1" applyFont="1" applyFill="1" applyBorder="1" applyAlignment="1" applyProtection="1">
      <alignment horizontal="left"/>
      <protection/>
    </xf>
    <xf numFmtId="175" fontId="9" fillId="36" borderId="33" xfId="56" applyFont="1" applyFill="1" applyBorder="1">
      <alignment/>
      <protection/>
    </xf>
    <xf numFmtId="168" fontId="9" fillId="36" borderId="20" xfId="56" applyNumberFormat="1" applyFont="1" applyFill="1" applyBorder="1" applyAlignment="1" applyProtection="1">
      <alignment horizontal="center"/>
      <protection/>
    </xf>
    <xf numFmtId="175" fontId="9" fillId="0" borderId="0" xfId="56" applyFont="1" applyFill="1">
      <alignment/>
      <protection/>
    </xf>
    <xf numFmtId="175" fontId="9" fillId="0" borderId="0" xfId="56" applyFont="1" applyFill="1" applyAlignment="1">
      <alignment horizontal="centerContinuous"/>
      <protection/>
    </xf>
    <xf numFmtId="175" fontId="9" fillId="0" borderId="0" xfId="56" applyNumberFormat="1" applyFont="1" applyFill="1" applyAlignment="1" applyProtection="1">
      <alignment horizontal="left"/>
      <protection/>
    </xf>
    <xf numFmtId="168" fontId="9" fillId="0" borderId="0" xfId="56" applyNumberFormat="1" applyFont="1" applyFill="1" applyProtection="1">
      <alignment/>
      <protection/>
    </xf>
    <xf numFmtId="37" fontId="9" fillId="0" borderId="0" xfId="56" applyNumberFormat="1" applyFont="1" applyFill="1" applyProtection="1">
      <alignment/>
      <protection/>
    </xf>
    <xf numFmtId="0" fontId="9" fillId="36" borderId="29" xfId="0" applyFont="1" applyFill="1" applyBorder="1" applyAlignment="1">
      <alignment/>
    </xf>
    <xf numFmtId="0" fontId="9" fillId="36" borderId="27" xfId="0" applyFont="1" applyFill="1" applyBorder="1" applyAlignment="1">
      <alignment horizontal="centerContinuous"/>
    </xf>
    <xf numFmtId="0" fontId="9" fillId="36" borderId="22" xfId="0" applyFont="1" applyFill="1" applyBorder="1" applyAlignment="1" quotePrefix="1">
      <alignment horizontal="center"/>
    </xf>
    <xf numFmtId="166" fontId="9" fillId="36" borderId="33" xfId="42" applyNumberFormat="1" applyFont="1" applyFill="1" applyBorder="1" applyAlignment="1">
      <alignment horizontal="center"/>
    </xf>
    <xf numFmtId="0" fontId="9" fillId="36" borderId="35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166" fontId="9" fillId="36" borderId="0" xfId="42" applyNumberFormat="1" applyFont="1" applyFill="1" applyBorder="1" applyAlignment="1">
      <alignment/>
    </xf>
    <xf numFmtId="166" fontId="9" fillId="36" borderId="29" xfId="42" applyNumberFormat="1" applyFont="1" applyFill="1" applyBorder="1" applyAlignment="1">
      <alignment/>
    </xf>
    <xf numFmtId="166" fontId="9" fillId="36" borderId="33" xfId="42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Continuous"/>
    </xf>
    <xf numFmtId="0" fontId="11" fillId="36" borderId="10" xfId="0" applyFont="1" applyFill="1" applyBorder="1" applyAlignment="1">
      <alignment/>
    </xf>
    <xf numFmtId="166" fontId="11" fillId="36" borderId="11" xfId="42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/>
    </xf>
    <xf numFmtId="0" fontId="9" fillId="36" borderId="30" xfId="0" applyFont="1" applyFill="1" applyBorder="1" applyAlignment="1">
      <alignment horizontal="centerContinuous"/>
    </xf>
    <xf numFmtId="0" fontId="9" fillId="36" borderId="27" xfId="0" applyFont="1" applyFill="1" applyBorder="1" applyAlignment="1" quotePrefix="1">
      <alignment horizontal="centerContinuous"/>
    </xf>
    <xf numFmtId="166" fontId="9" fillId="36" borderId="36" xfId="42" applyNumberFormat="1" applyFont="1" applyFill="1" applyBorder="1" applyAlignment="1">
      <alignment horizontal="center"/>
    </xf>
    <xf numFmtId="166" fontId="9" fillId="36" borderId="20" xfId="42" applyNumberFormat="1" applyFont="1" applyFill="1" applyBorder="1" applyAlignment="1">
      <alignment horizontal="center"/>
    </xf>
    <xf numFmtId="0" fontId="9" fillId="36" borderId="36" xfId="0" applyFont="1" applyFill="1" applyBorder="1" applyAlignment="1">
      <alignment/>
    </xf>
    <xf numFmtId="166" fontId="9" fillId="36" borderId="36" xfId="42" applyNumberFormat="1" applyFont="1" applyFill="1" applyBorder="1" applyAlignment="1">
      <alignment/>
    </xf>
    <xf numFmtId="166" fontId="9" fillId="36" borderId="0" xfId="42" applyNumberFormat="1" applyFont="1" applyFill="1" applyBorder="1" applyAlignment="1" quotePrefix="1">
      <alignment horizontal="right"/>
    </xf>
    <xf numFmtId="166" fontId="9" fillId="36" borderId="30" xfId="42" applyNumberFormat="1" applyFont="1" applyFill="1" applyBorder="1" applyAlignment="1">
      <alignment/>
    </xf>
    <xf numFmtId="166" fontId="9" fillId="36" borderId="20" xfId="42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Continuous"/>
    </xf>
    <xf numFmtId="0" fontId="9" fillId="36" borderId="12" xfId="0" applyFont="1" applyFill="1" applyBorder="1" applyAlignment="1">
      <alignment horizontal="centerContinuous"/>
    </xf>
    <xf numFmtId="166" fontId="9" fillId="36" borderId="11" xfId="42" applyNumberFormat="1" applyFont="1" applyFill="1" applyBorder="1" applyAlignment="1">
      <alignment/>
    </xf>
    <xf numFmtId="166" fontId="9" fillId="36" borderId="12" xfId="42" applyNumberFormat="1" applyFont="1" applyFill="1" applyBorder="1" applyAlignment="1">
      <alignment/>
    </xf>
    <xf numFmtId="0" fontId="11" fillId="36" borderId="29" xfId="0" applyFont="1" applyFill="1" applyBorder="1" applyAlignment="1">
      <alignment horizontal="center"/>
    </xf>
    <xf numFmtId="0" fontId="11" fillId="36" borderId="35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/>
    </xf>
    <xf numFmtId="203" fontId="9" fillId="36" borderId="35" xfId="0" applyNumberFormat="1" applyFont="1" applyFill="1" applyBorder="1" applyAlignment="1">
      <alignment horizontal="center"/>
    </xf>
    <xf numFmtId="203" fontId="9" fillId="36" borderId="0" xfId="0" applyNumberFormat="1" applyFont="1" applyFill="1" applyBorder="1" applyAlignment="1">
      <alignment horizontal="center"/>
    </xf>
    <xf numFmtId="203" fontId="9" fillId="36" borderId="36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 quotePrefix="1">
      <alignment horizontal="center"/>
    </xf>
    <xf numFmtId="0" fontId="9" fillId="36" borderId="36" xfId="0" applyFont="1" applyFill="1" applyBorder="1" applyAlignment="1" quotePrefix="1">
      <alignment horizontal="center"/>
    </xf>
    <xf numFmtId="43" fontId="9" fillId="36" borderId="0" xfId="0" applyNumberFormat="1" applyFont="1" applyFill="1" applyBorder="1" applyAlignment="1">
      <alignment/>
    </xf>
    <xf numFmtId="165" fontId="9" fillId="36" borderId="36" xfId="0" applyNumberFormat="1" applyFont="1" applyFill="1" applyBorder="1" applyAlignment="1">
      <alignment/>
    </xf>
    <xf numFmtId="43" fontId="9" fillId="36" borderId="33" xfId="0" applyNumberFormat="1" applyFont="1" applyFill="1" applyBorder="1" applyAlignment="1">
      <alignment/>
    </xf>
    <xf numFmtId="0" fontId="17" fillId="0" borderId="0" xfId="57" applyFont="1" applyFill="1">
      <alignment/>
      <protection/>
    </xf>
    <xf numFmtId="172" fontId="18" fillId="36" borderId="0" xfId="55" applyNumberFormat="1" applyFont="1" applyFill="1" applyAlignment="1" applyProtection="1">
      <alignment horizontal="right"/>
      <protection/>
    </xf>
    <xf numFmtId="0" fontId="3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6" borderId="35" xfId="0" applyFont="1" applyFill="1" applyBorder="1" applyAlignment="1">
      <alignment horizontal="center"/>
    </xf>
    <xf numFmtId="168" fontId="9" fillId="36" borderId="0" xfId="6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3basic3" xfId="55"/>
    <cellStyle name="Normal_basic3old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55"/>
          <c:w val="0.744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'Recall LDM Differences'!$B$4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Differences'!$B$5:$B$10</c:f>
              <c:numCache/>
            </c:numRef>
          </c:val>
        </c:ser>
        <c:ser>
          <c:idx val="1"/>
          <c:order val="1"/>
          <c:tx>
            <c:strRef>
              <c:f>'Recall LDM Differences'!$C$4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Differences'!$C$5:$C$10</c:f>
              <c:numCache/>
            </c:numRef>
          </c:val>
        </c:ser>
        <c:ser>
          <c:idx val="2"/>
          <c:order val="2"/>
          <c:tx>
            <c:strRef>
              <c:f>'Recall LDM Differences'!$D$4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Differences'!$D$5:$D$10</c:f>
              <c:numCache/>
            </c:numRef>
          </c:val>
        </c:ser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24007796"/>
        <c:crosses val="autoZero"/>
        <c:auto val="0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9950235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06975"/>
          <c:w val="0.199"/>
          <c:h val="0.69775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9"/>
          <c:w val="0.763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'Recall LDM Differences'!$B$4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Differences'!$B$5:$B$10</c:f>
              <c:numCache/>
            </c:numRef>
          </c:val>
        </c:ser>
        <c:ser>
          <c:idx val="1"/>
          <c:order val="1"/>
          <c:tx>
            <c:strRef>
              <c:f>'Recall LDM Differences'!$C$4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Differences'!$C$5:$C$10</c:f>
              <c:numCache/>
            </c:numRef>
          </c:val>
        </c:ser>
        <c:ser>
          <c:idx val="2"/>
          <c:order val="2"/>
          <c:tx>
            <c:strRef>
              <c:f>'Recall LDM Differences'!$D$4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'Recall LDM Differences'!$A$5:$A$10</c:f>
              <c:numCache/>
            </c:numRef>
          </c:cat>
          <c:val>
            <c:numRef>
              <c:f>'Recall LDM Differences'!$D$5:$D$10</c:f>
              <c:numCache/>
            </c:numRef>
          </c:val>
        </c:ser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5583294"/>
        <c:crosses val="autoZero"/>
        <c:auto val="0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14743573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"/>
          <c:w val="0.17825"/>
          <c:h val="0.851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75"/>
          <c:w val="0.914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'Reasonableness Checks'!$K$4</c:f>
              <c:strCache>
                <c:ptCount val="1"/>
                <c:pt idx="0">
                  <c:v>Paid LDM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'Reasonableness Checks'!$J$5:$J$10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'Reasonableness Checks'!$K$5:$K$10</c:f>
              <c:numCache>
                <c:ptCount val="6"/>
                <c:pt idx="0">
                  <c:v>0.6188661382650815</c:v>
                </c:pt>
                <c:pt idx="1">
                  <c:v>0.5903788606501479</c:v>
                </c:pt>
                <c:pt idx="2">
                  <c:v>0.6294294082323254</c:v>
                </c:pt>
                <c:pt idx="3">
                  <c:v>0.6887997477371506</c:v>
                </c:pt>
                <c:pt idx="4">
                  <c:v>0.6097156541235136</c:v>
                </c:pt>
                <c:pt idx="5">
                  <c:v>0.5571920289711352</c:v>
                </c:pt>
              </c:numCache>
            </c:numRef>
          </c:val>
        </c:ser>
        <c:ser>
          <c:idx val="1"/>
          <c:order val="1"/>
          <c:tx>
            <c:strRef>
              <c:f>'Reasonableness Checks'!$L$4</c:f>
              <c:strCache>
                <c:ptCount val="1"/>
                <c:pt idx="0">
                  <c:v>Incurred LDM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'Reasonableness Checks'!$L$5:$L$10</c:f>
              <c:numCache>
                <c:ptCount val="6"/>
                <c:pt idx="0">
                  <c:v>0.619220607661823</c:v>
                </c:pt>
                <c:pt idx="1">
                  <c:v>0.5791316208229143</c:v>
                </c:pt>
                <c:pt idx="2">
                  <c:v>0.5986431142183428</c:v>
                </c:pt>
                <c:pt idx="3">
                  <c:v>0.6386778413096263</c:v>
                </c:pt>
                <c:pt idx="4">
                  <c:v>0.5596183912446955</c:v>
                </c:pt>
                <c:pt idx="5">
                  <c:v>0.5229925394473472</c:v>
                </c:pt>
              </c:numCache>
            </c:numRef>
          </c:val>
        </c:ser>
        <c:ser>
          <c:idx val="2"/>
          <c:order val="2"/>
          <c:tx>
            <c:strRef>
              <c:f>'Reasonableness Checks'!$M$4</c:f>
              <c:strCache>
                <c:ptCount val="1"/>
                <c:pt idx="0">
                  <c:v>Selected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'Reasonableness Checks'!$M$5:$M$10</c:f>
              <c:numCache>
                <c:ptCount val="6"/>
                <c:pt idx="0">
                  <c:v>0.6190554821664465</c:v>
                </c:pt>
                <c:pt idx="1">
                  <c:v>0.5847692657422141</c:v>
                </c:pt>
                <c:pt idx="2">
                  <c:v>0.6140321846688455</c:v>
                </c:pt>
                <c:pt idx="3">
                  <c:v>0.663742461032349</c:v>
                </c:pt>
                <c:pt idx="4">
                  <c:v>0.5846654541973773</c:v>
                </c:pt>
                <c:pt idx="5">
                  <c:v>0.540097221139099</c:v>
                </c:pt>
              </c:numCache>
            </c:numRef>
          </c:val>
        </c:ser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0000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8"/>
          <c:y val="0.93275"/>
          <c:w val="0.8415"/>
          <c:h val="0.0647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75"/>
          <c:w val="0.914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'II-9 Backup'!$X$4</c:f>
              <c:strCache>
                <c:ptCount val="1"/>
                <c:pt idx="0">
                  <c:v>Case Loss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'II-9 Backup'!$W$6:$W$18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'II-9 Backup'!$X$6:$X$18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'II-9 Backup'!$Y$4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'II-9 Backup'!$W$6:$W$18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'II-9 Backup'!$Y$6:$Y$18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  <a:prstDash val="lgDashDot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145"/>
          <c:w val="0.39075"/>
          <c:h val="0.1217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75"/>
          <c:w val="0.914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'II-30 Backup'!$C$4</c:f>
              <c:strCache>
                <c:ptCount val="1"/>
                <c:pt idx="0">
                  <c:v>Case Loss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Backup'!$C$6:$C$18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'II-30 Backup'!$D$4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Backup'!$D$6:$D$18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1555"/>
          <c:w val="0.27825"/>
          <c:h val="0.1372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75"/>
          <c:w val="0.914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'II-30 Backup'!$C$4</c:f>
              <c:strCache>
                <c:ptCount val="1"/>
                <c:pt idx="0">
                  <c:v>Case Loss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Backup'!$C$6:$C$18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'II-30 Backup'!$D$4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Backup'!$D$6:$D$18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  <a:prstDash val="lgDashDotDot"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114"/>
          <c:w val="0.27825"/>
          <c:h val="0.1372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0288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1907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i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-27"/>
      <sheetName val="I-28"/>
      <sheetName val="I-29"/>
      <sheetName val="I-30"/>
      <sheetName val="I-31"/>
      <sheetName val="I-32"/>
      <sheetName val="I-34"/>
      <sheetName val="I-36"/>
      <sheetName val="I-37"/>
      <sheetName val="I-39"/>
      <sheetName val="I-40"/>
      <sheetName val="I-41"/>
      <sheetName val="I-42"/>
      <sheetName val="I-43"/>
      <sheetName val="I-48"/>
      <sheetName val="I-49"/>
    </sheetNames>
    <sheetDataSet>
      <sheetData sheetId="12">
        <row r="21">
          <cell r="L21">
            <v>1.162</v>
          </cell>
          <cell r="M21">
            <v>1.03</v>
          </cell>
          <cell r="N21">
            <v>1.011</v>
          </cell>
          <cell r="O21">
            <v>1.003</v>
          </cell>
          <cell r="P21">
            <v>1.001</v>
          </cell>
        </row>
      </sheetData>
      <sheetData sheetId="14">
        <row r="5">
          <cell r="B5">
            <v>11243.560000000001</v>
          </cell>
          <cell r="C5">
            <v>11250</v>
          </cell>
        </row>
        <row r="6">
          <cell r="B6">
            <v>12985.383040000002</v>
          </cell>
          <cell r="C6">
            <v>12738</v>
          </cell>
        </row>
        <row r="7">
          <cell r="B7">
            <v>15215.197085200003</v>
          </cell>
          <cell r="C7">
            <v>14471</v>
          </cell>
        </row>
        <row r="8">
          <cell r="B8">
            <v>17587.812758720404</v>
          </cell>
          <cell r="C8">
            <v>16308</v>
          </cell>
        </row>
        <row r="9">
          <cell r="B9">
            <v>19109.09831588504</v>
          </cell>
          <cell r="C9">
            <v>17539</v>
          </cell>
        </row>
        <row r="10">
          <cell r="B10">
            <v>21434.6201624906</v>
          </cell>
          <cell r="C10">
            <v>20119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10.140625" style="0" customWidth="1"/>
  </cols>
  <sheetData>
    <row r="1" spans="1:3" ht="12.75">
      <c r="A1" t="s">
        <v>238</v>
      </c>
      <c r="C1" s="5">
        <v>2010</v>
      </c>
    </row>
    <row r="3" spans="1:5" ht="12.75">
      <c r="A3" t="s">
        <v>76</v>
      </c>
      <c r="C3" s="6">
        <v>40543</v>
      </c>
      <c r="E3" s="10" t="s">
        <v>253</v>
      </c>
    </row>
    <row r="4" ht="12.75">
      <c r="C4" s="37"/>
    </row>
    <row r="5" ht="12.75">
      <c r="A5" s="460"/>
    </row>
    <row r="9" ht="12.75">
      <c r="A9" t="s">
        <v>246</v>
      </c>
    </row>
    <row r="11" ht="12.75">
      <c r="A11" s="460" t="s">
        <v>254</v>
      </c>
    </row>
    <row r="12" ht="12.75">
      <c r="A12" s="460"/>
    </row>
    <row r="13" ht="12.75">
      <c r="A13" s="240" t="s">
        <v>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85" zoomScaleNormal="85" zoomScalePageLayoutView="0" workbookViewId="0" topLeftCell="A39">
      <selection activeCell="K85" sqref="K85"/>
    </sheetView>
  </sheetViews>
  <sheetFormatPr defaultColWidth="9.140625" defaultRowHeight="12.75"/>
  <cols>
    <col min="1" max="1" width="22.421875" style="7" customWidth="1"/>
    <col min="2" max="10" width="9.140625" style="7" customWidth="1"/>
    <col min="11" max="11" width="21.57421875" style="7" customWidth="1"/>
    <col min="12" max="16384" width="9.140625" style="7" customWidth="1"/>
  </cols>
  <sheetData>
    <row r="1" spans="1:2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2.75">
      <c r="A3" s="111"/>
      <c r="B3" s="112" t="s">
        <v>7</v>
      </c>
      <c r="C3" s="113"/>
      <c r="D3" s="113"/>
      <c r="E3" s="113"/>
      <c r="F3" s="113"/>
      <c r="G3" s="114"/>
      <c r="H3" s="115"/>
      <c r="I3" s="115"/>
      <c r="J3" s="115"/>
      <c r="K3" s="116"/>
      <c r="L3" s="118" t="s">
        <v>7</v>
      </c>
      <c r="M3" s="118"/>
      <c r="N3" s="118"/>
      <c r="O3" s="118"/>
      <c r="P3" s="118"/>
      <c r="Q3" s="119"/>
      <c r="R3" s="115"/>
      <c r="S3" s="115"/>
      <c r="T3" s="115"/>
      <c r="U3" s="115"/>
    </row>
    <row r="4" spans="1:21" ht="12.75">
      <c r="A4" s="127" t="s">
        <v>1</v>
      </c>
      <c r="B4" s="159"/>
      <c r="C4" s="159"/>
      <c r="D4" s="159"/>
      <c r="E4" s="159"/>
      <c r="F4" s="159"/>
      <c r="G4" s="160" t="s">
        <v>8</v>
      </c>
      <c r="H4" s="115"/>
      <c r="I4" s="115"/>
      <c r="J4" s="115"/>
      <c r="K4" s="129" t="s">
        <v>1</v>
      </c>
      <c r="L4" s="161"/>
      <c r="M4" s="161"/>
      <c r="N4" s="161"/>
      <c r="O4" s="161"/>
      <c r="P4" s="161"/>
      <c r="Q4" s="162" t="s">
        <v>8</v>
      </c>
      <c r="R4" s="115"/>
      <c r="S4" s="115"/>
      <c r="T4" s="115"/>
      <c r="U4" s="115"/>
    </row>
    <row r="5" spans="1:21" ht="12.75">
      <c r="A5" s="108" t="s">
        <v>4</v>
      </c>
      <c r="B5" s="163" t="s">
        <v>9</v>
      </c>
      <c r="C5" s="163" t="s">
        <v>10</v>
      </c>
      <c r="D5" s="163" t="s">
        <v>11</v>
      </c>
      <c r="E5" s="163" t="s">
        <v>12</v>
      </c>
      <c r="F5" s="163" t="s">
        <v>13</v>
      </c>
      <c r="G5" s="137" t="s">
        <v>14</v>
      </c>
      <c r="H5" s="115"/>
      <c r="I5" s="115"/>
      <c r="J5" s="115"/>
      <c r="K5" s="109" t="s">
        <v>4</v>
      </c>
      <c r="L5" s="164" t="s">
        <v>9</v>
      </c>
      <c r="M5" s="164" t="s">
        <v>10</v>
      </c>
      <c r="N5" s="164" t="s">
        <v>11</v>
      </c>
      <c r="O5" s="164" t="s">
        <v>12</v>
      </c>
      <c r="P5" s="164" t="s">
        <v>13</v>
      </c>
      <c r="Q5" s="109" t="s">
        <v>14</v>
      </c>
      <c r="R5" s="115"/>
      <c r="S5" s="115"/>
      <c r="T5" s="115"/>
      <c r="U5" s="115"/>
    </row>
    <row r="6" spans="1:21" ht="12.75">
      <c r="A6" s="136">
        <f>+A7-1</f>
        <v>2005</v>
      </c>
      <c r="B6" s="165">
        <f>ROUND('Sensitivity Analysis'!N15/'Sensitivity Analysis'!M15,3)</f>
        <v>1.162</v>
      </c>
      <c r="C6" s="165">
        <f>ROUND('Sensitivity Analysis'!O15/'Sensitivity Analysis'!N15,3)</f>
        <v>1.023</v>
      </c>
      <c r="D6" s="165">
        <f>ROUND('Sensitivity Analysis'!P15/'Sensitivity Analysis'!O15,3)</f>
        <v>1.009</v>
      </c>
      <c r="E6" s="165">
        <f>ROUND('Sensitivity Analysis'!Q15/'Sensitivity Analysis'!P15,3)</f>
        <v>1.004</v>
      </c>
      <c r="F6" s="165">
        <f>ROUND('Sensitivity Analysis'!R15/'Sensitivity Analysis'!Q15,3)</f>
        <v>1.001</v>
      </c>
      <c r="G6" s="166" t="s">
        <v>6</v>
      </c>
      <c r="H6" s="115"/>
      <c r="I6" s="115"/>
      <c r="J6" s="115"/>
      <c r="K6" s="123">
        <f>+K7-1</f>
        <v>2005</v>
      </c>
      <c r="L6" s="165">
        <f>ROUND('Sensitivity Analysis'!N15/'Sensitivity Analysis'!M15,3)</f>
        <v>1.162</v>
      </c>
      <c r="M6" s="165">
        <f>ROUND('Sensitivity Analysis'!O15/'Sensitivity Analysis'!N15,3)</f>
        <v>1.023</v>
      </c>
      <c r="N6" s="165">
        <f>ROUND('Sensitivity Analysis'!P15/'Sensitivity Analysis'!O15,3)</f>
        <v>1.009</v>
      </c>
      <c r="O6" s="165">
        <f>ROUND('Sensitivity Analysis'!Q15/'Sensitivity Analysis'!P15,3)</f>
        <v>1.004</v>
      </c>
      <c r="P6" s="165">
        <f>ROUND('Sensitivity Analysis'!R15/'Sensitivity Analysis'!Q15,3)</f>
        <v>1.001</v>
      </c>
      <c r="Q6" s="167" t="s">
        <v>6</v>
      </c>
      <c r="R6" s="115"/>
      <c r="S6" s="115"/>
      <c r="T6" s="115"/>
      <c r="U6" s="115"/>
    </row>
    <row r="7" spans="1:21" ht="12.75">
      <c r="A7" s="136">
        <f>+A8-1</f>
        <v>2006</v>
      </c>
      <c r="B7" s="165">
        <f>ROUND('Sensitivity Analysis'!N16/'Sensitivity Analysis'!M16,3)</f>
        <v>1.158</v>
      </c>
      <c r="C7" s="165">
        <f>ROUND('Sensitivity Analysis'!O16/'Sensitivity Analysis'!N16,3)</f>
        <v>1.028</v>
      </c>
      <c r="D7" s="165">
        <f>ROUND('Sensitivity Analysis'!P16/'Sensitivity Analysis'!O16,3)</f>
        <v>1.011</v>
      </c>
      <c r="E7" s="165">
        <f>ROUND('Sensitivity Analysis'!Q16/'Sensitivity Analysis'!P16,3)</f>
        <v>1.003</v>
      </c>
      <c r="F7" s="165"/>
      <c r="G7" s="168"/>
      <c r="H7" s="115"/>
      <c r="I7" s="115"/>
      <c r="J7" s="115"/>
      <c r="K7" s="129">
        <f>+K8-1</f>
        <v>2006</v>
      </c>
      <c r="L7" s="165">
        <f>ROUND('Sensitivity Analysis'!N16/'Sensitivity Analysis'!M16,3)</f>
        <v>1.158</v>
      </c>
      <c r="M7" s="165">
        <f>ROUND('Sensitivity Analysis'!O16/'Sensitivity Analysis'!N16,3)</f>
        <v>1.028</v>
      </c>
      <c r="N7" s="165">
        <f>ROUND('Sensitivity Analysis'!P16/'Sensitivity Analysis'!O16,3)</f>
        <v>1.011</v>
      </c>
      <c r="O7" s="165">
        <f>ROUND('Sensitivity Analysis'!Q16/'Sensitivity Analysis'!P16,3)</f>
        <v>1.003</v>
      </c>
      <c r="P7" s="165"/>
      <c r="Q7" s="169"/>
      <c r="R7" s="115"/>
      <c r="S7" s="115"/>
      <c r="T7" s="115"/>
      <c r="U7" s="115"/>
    </row>
    <row r="8" spans="1:21" ht="12.75">
      <c r="A8" s="136">
        <f>+A9-1</f>
        <v>2007</v>
      </c>
      <c r="B8" s="165">
        <f>ROUND('Sensitivity Analysis'!N17/'Sensitivity Analysis'!M17,3)</f>
        <v>1.165</v>
      </c>
      <c r="C8" s="165">
        <f>ROUND('Sensitivity Analysis'!O17/'Sensitivity Analysis'!N17,3)</f>
        <v>1.029</v>
      </c>
      <c r="D8" s="165">
        <f>ROUND('Sensitivity Analysis'!P17/'Sensitivity Analysis'!O17,3)</f>
        <v>1.012</v>
      </c>
      <c r="E8" s="165"/>
      <c r="F8" s="165"/>
      <c r="G8" s="168"/>
      <c r="H8" s="115"/>
      <c r="I8" s="115"/>
      <c r="J8" s="115"/>
      <c r="K8" s="129">
        <f>+K9-1</f>
        <v>2007</v>
      </c>
      <c r="L8" s="165">
        <f>ROUND('Sensitivity Analysis'!N17/'Sensitivity Analysis'!M17,3)</f>
        <v>1.165</v>
      </c>
      <c r="M8" s="165">
        <f>ROUND('Sensitivity Analysis'!O17/'Sensitivity Analysis'!N17,3)</f>
        <v>1.029</v>
      </c>
      <c r="N8" s="165">
        <f>ROUND('Sensitivity Analysis'!P17/'Sensitivity Analysis'!O17,3)</f>
        <v>1.012</v>
      </c>
      <c r="O8" s="165"/>
      <c r="P8" s="165"/>
      <c r="Q8" s="169"/>
      <c r="R8" s="115"/>
      <c r="S8" s="115"/>
      <c r="T8" s="115"/>
      <c r="U8" s="115"/>
    </row>
    <row r="9" spans="1:21" ht="12.75">
      <c r="A9" s="136">
        <f>+A10-1</f>
        <v>2008</v>
      </c>
      <c r="B9" s="165">
        <f>ROUND('Sensitivity Analysis'!N18/'Sensitivity Analysis'!M18,3)</f>
        <v>1.165</v>
      </c>
      <c r="C9" s="165">
        <f>ROUND('Sensitivity Analysis'!O18/'Sensitivity Analysis'!N18,3)</f>
        <v>1.034</v>
      </c>
      <c r="D9" s="165"/>
      <c r="E9" s="165"/>
      <c r="F9" s="165"/>
      <c r="G9" s="168"/>
      <c r="H9" s="115"/>
      <c r="I9" s="115"/>
      <c r="J9" s="115"/>
      <c r="K9" s="129">
        <f>+K10-1</f>
        <v>2008</v>
      </c>
      <c r="L9" s="165">
        <f>ROUND('Sensitivity Analysis'!N18/'Sensitivity Analysis'!M18,3)</f>
        <v>1.165</v>
      </c>
      <c r="M9" s="165">
        <f>ROUND('Sensitivity Analysis'!O18/'Sensitivity Analysis'!N18,3)</f>
        <v>1.034</v>
      </c>
      <c r="N9" s="165"/>
      <c r="O9" s="165"/>
      <c r="P9" s="165"/>
      <c r="Q9" s="169"/>
      <c r="R9" s="115"/>
      <c r="S9" s="115"/>
      <c r="T9" s="115"/>
      <c r="U9" s="115"/>
    </row>
    <row r="10" spans="1:21" ht="12.75">
      <c r="A10" s="136">
        <f>+A11-1</f>
        <v>2009</v>
      </c>
      <c r="B10" s="165">
        <f>ROUND('Sensitivity Analysis'!N19/'Sensitivity Analysis'!M19,3)</f>
        <v>1.159</v>
      </c>
      <c r="C10" s="165"/>
      <c r="D10" s="165"/>
      <c r="E10" s="165"/>
      <c r="F10" s="165"/>
      <c r="G10" s="168"/>
      <c r="H10" s="115"/>
      <c r="I10" s="115"/>
      <c r="J10" s="115"/>
      <c r="K10" s="129">
        <f>+K11-1</f>
        <v>2009</v>
      </c>
      <c r="L10" s="165">
        <f>ROUND('Sensitivity Analysis'!N19/'Sensitivity Analysis'!M19,3)</f>
        <v>1.159</v>
      </c>
      <c r="M10" s="165"/>
      <c r="N10" s="165"/>
      <c r="O10" s="165"/>
      <c r="P10" s="165"/>
      <c r="Q10" s="169"/>
      <c r="R10" s="115"/>
      <c r="S10" s="115"/>
      <c r="T10" s="115"/>
      <c r="U10" s="115"/>
    </row>
    <row r="11" spans="1:21" ht="12.75">
      <c r="A11" s="137">
        <f>latest_year</f>
        <v>2010</v>
      </c>
      <c r="B11" s="170"/>
      <c r="C11" s="171"/>
      <c r="D11" s="171"/>
      <c r="E11" s="171"/>
      <c r="F11" s="171"/>
      <c r="G11" s="172"/>
      <c r="H11" s="115"/>
      <c r="I11" s="115"/>
      <c r="J11" s="115"/>
      <c r="K11" s="109">
        <f>A11</f>
        <v>2010</v>
      </c>
      <c r="L11" s="173"/>
      <c r="M11" s="173"/>
      <c r="N11" s="173"/>
      <c r="O11" s="173"/>
      <c r="P11" s="173"/>
      <c r="Q11" s="174"/>
      <c r="R11" s="115"/>
      <c r="S11" s="115"/>
      <c r="T11" s="115"/>
      <c r="U11" s="115"/>
    </row>
    <row r="12" spans="1:21" ht="6.75" customHeight="1">
      <c r="A12" s="175"/>
      <c r="B12" s="176"/>
      <c r="C12" s="176"/>
      <c r="D12" s="176"/>
      <c r="E12" s="176"/>
      <c r="F12" s="176"/>
      <c r="G12" s="177"/>
      <c r="H12" s="115"/>
      <c r="I12" s="115"/>
      <c r="J12" s="115"/>
      <c r="K12" s="150"/>
      <c r="L12" s="151"/>
      <c r="M12" s="151"/>
      <c r="N12" s="151"/>
      <c r="O12" s="151"/>
      <c r="P12" s="151"/>
      <c r="Q12" s="155"/>
      <c r="R12" s="115"/>
      <c r="S12" s="115"/>
      <c r="T12" s="115"/>
      <c r="U12" s="115"/>
    </row>
    <row r="13" spans="1:21" ht="12.75">
      <c r="A13" s="178" t="s">
        <v>77</v>
      </c>
      <c r="B13" s="154">
        <f>AVERAGE(B6:B12)</f>
        <v>1.1618</v>
      </c>
      <c r="C13" s="154">
        <f>+AVERAGE(C6:C9)</f>
        <v>1.0285</v>
      </c>
      <c r="D13" s="154">
        <f>+AVERAGE(D6:D9)</f>
        <v>1.0106666666666666</v>
      </c>
      <c r="E13" s="154">
        <f>+AVERAGE(E6:E9)</f>
        <v>1.0034999999999998</v>
      </c>
      <c r="F13" s="154">
        <f>+AVERAGE(F6:F9)</f>
        <v>1.001</v>
      </c>
      <c r="G13" s="179"/>
      <c r="H13" s="115"/>
      <c r="I13" s="115"/>
      <c r="J13" s="115"/>
      <c r="K13" s="150" t="s">
        <v>77</v>
      </c>
      <c r="L13" s="154">
        <f>AVERAGE(L6:L12)</f>
        <v>1.1618</v>
      </c>
      <c r="M13" s="154">
        <f>+AVERAGE(M6:M9)</f>
        <v>1.0285</v>
      </c>
      <c r="N13" s="154">
        <f>+AVERAGE(N6:N9)</f>
        <v>1.0106666666666666</v>
      </c>
      <c r="O13" s="154">
        <f>+AVERAGE(O6:O9)</f>
        <v>1.0034999999999998</v>
      </c>
      <c r="P13" s="154">
        <f>+AVERAGE(P6:P9)</f>
        <v>1.001</v>
      </c>
      <c r="Q13" s="180"/>
      <c r="R13" s="115"/>
      <c r="S13" s="115"/>
      <c r="T13" s="115"/>
      <c r="U13" s="115"/>
    </row>
    <row r="14" spans="1:21" ht="6.75" customHeight="1">
      <c r="A14" s="178"/>
      <c r="B14" s="154"/>
      <c r="C14" s="154"/>
      <c r="D14" s="154"/>
      <c r="E14" s="154"/>
      <c r="F14" s="154"/>
      <c r="G14" s="179"/>
      <c r="H14" s="115"/>
      <c r="I14" s="115"/>
      <c r="J14" s="115"/>
      <c r="K14" s="150"/>
      <c r="L14" s="154"/>
      <c r="M14" s="154"/>
      <c r="N14" s="154"/>
      <c r="O14" s="154"/>
      <c r="P14" s="154"/>
      <c r="Q14" s="180"/>
      <c r="R14" s="115"/>
      <c r="S14" s="115"/>
      <c r="T14" s="115"/>
      <c r="U14" s="115"/>
    </row>
    <row r="15" spans="1:21" ht="12.75">
      <c r="A15" s="178" t="s">
        <v>78</v>
      </c>
      <c r="B15" s="154">
        <f>+AVERAGE(B8:B10)</f>
        <v>1.163</v>
      </c>
      <c r="C15" s="154">
        <f>+AVERAGE(C7:C9)</f>
        <v>1.0303333333333333</v>
      </c>
      <c r="D15" s="154">
        <f>+AVERAGE(D6:D8)</f>
        <v>1.0106666666666666</v>
      </c>
      <c r="E15" s="181" t="s">
        <v>15</v>
      </c>
      <c r="F15" s="181" t="s">
        <v>15</v>
      </c>
      <c r="G15" s="179"/>
      <c r="H15" s="115"/>
      <c r="I15" s="115"/>
      <c r="J15" s="115"/>
      <c r="K15" s="150" t="s">
        <v>78</v>
      </c>
      <c r="L15" s="154">
        <f>+AVERAGE(L8:L10)</f>
        <v>1.163</v>
      </c>
      <c r="M15" s="154">
        <f>+AVERAGE(M7:M9)</f>
        <v>1.0303333333333333</v>
      </c>
      <c r="N15" s="154">
        <f>+AVERAGE(N6:N8)</f>
        <v>1.0106666666666666</v>
      </c>
      <c r="O15" s="181" t="s">
        <v>15</v>
      </c>
      <c r="P15" s="181" t="s">
        <v>15</v>
      </c>
      <c r="Q15" s="180"/>
      <c r="R15" s="115"/>
      <c r="S15" s="115"/>
      <c r="T15" s="115"/>
      <c r="U15" s="115"/>
    </row>
    <row r="16" spans="1:21" ht="6.75" customHeight="1">
      <c r="A16" s="178"/>
      <c r="B16" s="154"/>
      <c r="C16" s="154"/>
      <c r="D16" s="154"/>
      <c r="E16" s="154"/>
      <c r="F16" s="154"/>
      <c r="G16" s="179"/>
      <c r="H16" s="115"/>
      <c r="I16" s="115"/>
      <c r="J16" s="115"/>
      <c r="K16" s="150"/>
      <c r="L16" s="154"/>
      <c r="M16" s="154"/>
      <c r="N16" s="154"/>
      <c r="O16" s="154"/>
      <c r="P16" s="154"/>
      <c r="Q16" s="180"/>
      <c r="R16" s="115"/>
      <c r="S16" s="115"/>
      <c r="T16" s="115"/>
      <c r="U16" s="115"/>
    </row>
    <row r="17" spans="1:21" ht="12.75">
      <c r="A17" s="178" t="s">
        <v>79</v>
      </c>
      <c r="B17" s="154">
        <f>+(SUM(B6:B10)-MIN(B6:B10)-MAX(B6:B10))/3</f>
        <v>1.162</v>
      </c>
      <c r="C17" s="154">
        <f>+(SUM(C6:C9)-MIN(C6:C9)-MAX(C6:C9))/2</f>
        <v>1.0285000000000002</v>
      </c>
      <c r="D17" s="154">
        <f>+D7</f>
        <v>1.011</v>
      </c>
      <c r="E17" s="181" t="s">
        <v>15</v>
      </c>
      <c r="F17" s="181" t="s">
        <v>15</v>
      </c>
      <c r="G17" s="179"/>
      <c r="H17" s="115"/>
      <c r="I17" s="115"/>
      <c r="J17" s="115"/>
      <c r="K17" s="150" t="s">
        <v>79</v>
      </c>
      <c r="L17" s="154">
        <f>+(SUM(L6:L10)-MIN(L6:L10)-MAX(L6:L10))/3</f>
        <v>1.162</v>
      </c>
      <c r="M17" s="154">
        <f>+(SUM(M6:M9)-MIN(M6:M9)-MAX(M6:M9))/2</f>
        <v>1.0285000000000002</v>
      </c>
      <c r="N17" s="154">
        <f>+N7</f>
        <v>1.011</v>
      </c>
      <c r="O17" s="181" t="s">
        <v>15</v>
      </c>
      <c r="P17" s="181" t="s">
        <v>15</v>
      </c>
      <c r="Q17" s="180"/>
      <c r="R17" s="115"/>
      <c r="S17" s="115"/>
      <c r="T17" s="115"/>
      <c r="U17" s="115"/>
    </row>
    <row r="18" spans="1:21" ht="6.75" customHeight="1">
      <c r="A18" s="178"/>
      <c r="B18" s="154"/>
      <c r="C18" s="154"/>
      <c r="D18" s="154"/>
      <c r="E18" s="154"/>
      <c r="F18" s="154"/>
      <c r="G18" s="179"/>
      <c r="H18" s="115"/>
      <c r="I18" s="115"/>
      <c r="J18" s="115"/>
      <c r="K18" s="150"/>
      <c r="L18" s="154"/>
      <c r="M18" s="154"/>
      <c r="N18" s="154"/>
      <c r="O18" s="154"/>
      <c r="P18" s="154"/>
      <c r="Q18" s="180"/>
      <c r="R18" s="115"/>
      <c r="S18" s="115"/>
      <c r="T18" s="115"/>
      <c r="U18" s="115"/>
    </row>
    <row r="19" spans="1:21" ht="12.75">
      <c r="A19" s="178" t="s">
        <v>80</v>
      </c>
      <c r="B19" s="154">
        <f>SUM('Sensitivity Analysis'!N15:N19)/SUM('Sensitivity Analysis'!M15:M19)</f>
        <v>1.1618091464643072</v>
      </c>
      <c r="C19" s="154">
        <f>SUM('Sensitivity Analysis'!O15:O18)/SUM('Sensitivity Analysis'!N15:N18)</f>
        <v>1.0290123221302407</v>
      </c>
      <c r="D19" s="154">
        <f>SUM('Sensitivity Analysis'!P15:P17)/SUM('Sensitivity Analysis'!O15:O17)</f>
        <v>1.010928961748634</v>
      </c>
      <c r="E19" s="154">
        <f>SUM('Sensitivity Analysis'!Q15:Q16)/SUM('Sensitivity Analysis'!P15:P16)</f>
        <v>1.0032660581190855</v>
      </c>
      <c r="F19" s="154">
        <f>'Sensitivity Analysis'!R15/'Sensitivity Analysis'!Q15</f>
        <v>1.0013351134846462</v>
      </c>
      <c r="G19" s="179"/>
      <c r="H19" s="115"/>
      <c r="I19" s="115"/>
      <c r="J19" s="115"/>
      <c r="K19" s="150" t="s">
        <v>80</v>
      </c>
      <c r="L19" s="154">
        <f>SUM('Sensitivity Analysis'!N15:N19)/SUM('Sensitivity Analysis'!M15:M19)</f>
        <v>1.1618091464643072</v>
      </c>
      <c r="M19" s="154">
        <f>SUM('Sensitivity Analysis'!O15:O18)/SUM('Sensitivity Analysis'!N15:N18)</f>
        <v>1.0290123221302407</v>
      </c>
      <c r="N19" s="154">
        <f>SUM('Sensitivity Analysis'!P15:P17)/SUM('Sensitivity Analysis'!O15:O17)</f>
        <v>1.010928961748634</v>
      </c>
      <c r="O19" s="154">
        <f>SUM('Sensitivity Analysis'!Q15:Q16)/SUM('Sensitivity Analysis'!P15:P16)</f>
        <v>1.0032660581190855</v>
      </c>
      <c r="P19" s="154">
        <f>P6</f>
        <v>1.001</v>
      </c>
      <c r="Q19" s="180"/>
      <c r="R19" s="115"/>
      <c r="S19" s="115"/>
      <c r="T19" s="115"/>
      <c r="U19" s="115"/>
    </row>
    <row r="20" spans="1:21" ht="6.75" customHeight="1">
      <c r="A20" s="178"/>
      <c r="B20" s="154"/>
      <c r="C20" s="154"/>
      <c r="D20" s="154"/>
      <c r="E20" s="154"/>
      <c r="F20" s="154"/>
      <c r="G20" s="179"/>
      <c r="H20" s="115"/>
      <c r="I20" s="115"/>
      <c r="J20" s="115"/>
      <c r="K20" s="150"/>
      <c r="L20" s="154"/>
      <c r="M20" s="154"/>
      <c r="N20" s="154"/>
      <c r="O20" s="154"/>
      <c r="P20" s="154"/>
      <c r="Q20" s="180"/>
      <c r="R20" s="115"/>
      <c r="S20" s="115"/>
      <c r="T20" s="115"/>
      <c r="U20" s="115"/>
    </row>
    <row r="21" spans="1:21" ht="12.75">
      <c r="A21" s="182" t="s">
        <v>81</v>
      </c>
      <c r="B21" s="183">
        <f>+ROUND(B17,3)</f>
        <v>1.162</v>
      </c>
      <c r="C21" s="183">
        <f>+ROUND(C15,3)</f>
        <v>1.03</v>
      </c>
      <c r="D21" s="183">
        <f>+ROUND(D13,3)</f>
        <v>1.011</v>
      </c>
      <c r="E21" s="183">
        <f>+ROUND(E19,3)</f>
        <v>1.003</v>
      </c>
      <c r="F21" s="183">
        <f>+ROUND(F13,3)</f>
        <v>1.001</v>
      </c>
      <c r="G21" s="184">
        <v>1</v>
      </c>
      <c r="H21" s="115"/>
      <c r="I21" s="115"/>
      <c r="J21" s="115"/>
      <c r="K21" s="150" t="s">
        <v>81</v>
      </c>
      <c r="L21" s="154">
        <f>ROUND(L17,3)</f>
        <v>1.162</v>
      </c>
      <c r="M21" s="154">
        <f>ROUND(M15,3)</f>
        <v>1.03</v>
      </c>
      <c r="N21" s="154">
        <f>ROUND(N13,3)</f>
        <v>1.011</v>
      </c>
      <c r="O21" s="154">
        <f>ROUND(O19,3)</f>
        <v>1.003</v>
      </c>
      <c r="P21" s="154">
        <f>ROUND(P13,3)</f>
        <v>1.001</v>
      </c>
      <c r="Q21" s="180">
        <v>1</v>
      </c>
      <c r="R21" s="115"/>
      <c r="S21" s="115"/>
      <c r="T21" s="115"/>
      <c r="U21" s="115"/>
    </row>
    <row r="22" spans="1:21" ht="6.75" customHeight="1">
      <c r="A22" s="178"/>
      <c r="B22" s="154"/>
      <c r="C22" s="154"/>
      <c r="D22" s="154"/>
      <c r="E22" s="154"/>
      <c r="F22" s="154"/>
      <c r="G22" s="179"/>
      <c r="H22" s="115"/>
      <c r="I22" s="115"/>
      <c r="J22" s="115"/>
      <c r="K22" s="147"/>
      <c r="L22" s="185"/>
      <c r="M22" s="185"/>
      <c r="N22" s="185"/>
      <c r="O22" s="185"/>
      <c r="P22" s="185"/>
      <c r="Q22" s="186"/>
      <c r="R22" s="115"/>
      <c r="S22" s="115"/>
      <c r="T22" s="115"/>
      <c r="U22" s="115"/>
    </row>
    <row r="23" spans="1:21" ht="12.75">
      <c r="A23" s="182" t="s">
        <v>84</v>
      </c>
      <c r="B23" s="183">
        <f>+B21*C23</f>
        <v>1.2148691919163797</v>
      </c>
      <c r="C23" s="183">
        <f>+C21*D23</f>
        <v>1.0454984439899997</v>
      </c>
      <c r="D23" s="183">
        <f>+D21*E23</f>
        <v>1.0150470329999997</v>
      </c>
      <c r="E23" s="183">
        <f>+E21*F23</f>
        <v>1.0040029999999998</v>
      </c>
      <c r="F23" s="183">
        <f>+F21*G23</f>
        <v>1.001</v>
      </c>
      <c r="G23" s="184">
        <f>+G21</f>
        <v>1</v>
      </c>
      <c r="H23" s="115"/>
      <c r="I23" s="115"/>
      <c r="J23" s="115"/>
      <c r="K23" s="156" t="s">
        <v>84</v>
      </c>
      <c r="L23" s="187">
        <f>+L21*M23</f>
        <v>1.2148691919163797</v>
      </c>
      <c r="M23" s="187">
        <f>+M21*N23</f>
        <v>1.0454984439899997</v>
      </c>
      <c r="N23" s="187">
        <f>+N21*O23</f>
        <v>1.0150470329999997</v>
      </c>
      <c r="O23" s="187">
        <f>+O21*P23</f>
        <v>1.0040029999999998</v>
      </c>
      <c r="P23" s="187">
        <f>+P21*Q23</f>
        <v>1.001</v>
      </c>
      <c r="Q23" s="188">
        <f>+Q21</f>
        <v>1</v>
      </c>
      <c r="R23" s="115"/>
      <c r="S23" s="115"/>
      <c r="T23" s="115"/>
      <c r="U23" s="115"/>
    </row>
    <row r="24" spans="1:21" ht="12.75">
      <c r="A24" s="115"/>
      <c r="B24" s="189"/>
      <c r="C24" s="189"/>
      <c r="D24" s="189"/>
      <c r="E24" s="189"/>
      <c r="F24" s="189"/>
      <c r="G24" s="18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75">
      <c r="A25" s="115"/>
      <c r="B25" s="189"/>
      <c r="C25" s="189"/>
      <c r="D25" s="189"/>
      <c r="E25" s="189"/>
      <c r="F25" s="189"/>
      <c r="G25" s="189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2.75">
      <c r="A26" s="115"/>
      <c r="B26" s="189"/>
      <c r="C26" s="189"/>
      <c r="D26" s="189"/>
      <c r="E26" s="189"/>
      <c r="F26" s="189"/>
      <c r="G26" s="18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115"/>
      <c r="B27" s="189"/>
      <c r="C27" s="189"/>
      <c r="D27" s="189"/>
      <c r="E27" s="189"/>
      <c r="F27" s="189"/>
      <c r="G27" s="189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2.75">
      <c r="A28" s="115"/>
      <c r="B28" s="190"/>
      <c r="C28" s="190"/>
      <c r="D28" s="190"/>
      <c r="E28" s="115"/>
      <c r="F28" s="115"/>
      <c r="G28" s="18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18" t="s">
        <v>7</v>
      </c>
      <c r="M31" s="118"/>
      <c r="N31" s="118"/>
      <c r="O31" s="118"/>
      <c r="P31" s="118"/>
      <c r="Q31" s="119"/>
      <c r="R31" s="115"/>
      <c r="S31" s="115"/>
      <c r="T31" s="115"/>
      <c r="U31" s="115"/>
    </row>
    <row r="32" spans="1:21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29" t="s">
        <v>1</v>
      </c>
      <c r="L32" s="161"/>
      <c r="M32" s="161"/>
      <c r="N32" s="161"/>
      <c r="O32" s="161"/>
      <c r="P32" s="161"/>
      <c r="Q32" s="162" t="s">
        <v>8</v>
      </c>
      <c r="R32" s="115"/>
      <c r="S32" s="115"/>
      <c r="T32" s="115"/>
      <c r="U32" s="115"/>
    </row>
    <row r="33" spans="1:21" ht="12.75">
      <c r="A33" s="115" t="s">
        <v>72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09" t="s">
        <v>4</v>
      </c>
      <c r="L33" s="164" t="s">
        <v>9</v>
      </c>
      <c r="M33" s="164" t="s">
        <v>10</v>
      </c>
      <c r="N33" s="164" t="s">
        <v>11</v>
      </c>
      <c r="O33" s="164" t="s">
        <v>12</v>
      </c>
      <c r="P33" s="164" t="s">
        <v>13</v>
      </c>
      <c r="Q33" s="109" t="s">
        <v>14</v>
      </c>
      <c r="R33" s="115"/>
      <c r="S33" s="115"/>
      <c r="T33" s="115"/>
      <c r="U33" s="115"/>
    </row>
    <row r="34" spans="1:21" ht="12.75">
      <c r="A34" s="115"/>
      <c r="B34" s="115">
        <v>1.162</v>
      </c>
      <c r="C34" s="190">
        <v>1.03</v>
      </c>
      <c r="D34" s="115">
        <v>1.011</v>
      </c>
      <c r="E34" s="115">
        <v>1.003</v>
      </c>
      <c r="F34" s="115">
        <v>1.001</v>
      </c>
      <c r="G34" s="115">
        <v>1</v>
      </c>
      <c r="H34" s="115"/>
      <c r="I34" s="115"/>
      <c r="J34" s="115"/>
      <c r="K34" s="123">
        <f>+K35-1</f>
        <v>2005</v>
      </c>
      <c r="L34" s="165">
        <f>+L6</f>
        <v>1.162</v>
      </c>
      <c r="M34" s="165">
        <f>+M6</f>
        <v>1.023</v>
      </c>
      <c r="N34" s="165">
        <f>+N6</f>
        <v>1.009</v>
      </c>
      <c r="O34" s="165">
        <f>+O6</f>
        <v>1.004</v>
      </c>
      <c r="P34" s="165">
        <f>+P6</f>
        <v>1.001</v>
      </c>
      <c r="Q34" s="169" t="s">
        <v>6</v>
      </c>
      <c r="R34" s="115"/>
      <c r="S34" s="115"/>
      <c r="T34" s="115"/>
      <c r="U34" s="115"/>
    </row>
    <row r="35" spans="1:2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29">
        <f>+K36-1</f>
        <v>2006</v>
      </c>
      <c r="L35" s="165">
        <f aca="true" t="shared" si="0" ref="L35:O38">+L7</f>
        <v>1.158</v>
      </c>
      <c r="M35" s="165">
        <f t="shared" si="0"/>
        <v>1.028</v>
      </c>
      <c r="N35" s="165">
        <f t="shared" si="0"/>
        <v>1.011</v>
      </c>
      <c r="O35" s="165">
        <f t="shared" si="0"/>
        <v>1.003</v>
      </c>
      <c r="P35" s="165"/>
      <c r="Q35" s="169"/>
      <c r="R35" s="115"/>
      <c r="S35" s="115"/>
      <c r="T35" s="115"/>
      <c r="U35" s="115"/>
    </row>
    <row r="36" spans="1:21" ht="12.75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29">
        <f>+K37-1</f>
        <v>2007</v>
      </c>
      <c r="L36" s="165">
        <f t="shared" si="0"/>
        <v>1.165</v>
      </c>
      <c r="M36" s="165">
        <f t="shared" si="0"/>
        <v>1.029</v>
      </c>
      <c r="N36" s="165">
        <f t="shared" si="0"/>
        <v>1.012</v>
      </c>
      <c r="O36" s="165"/>
      <c r="P36" s="165"/>
      <c r="Q36" s="169"/>
      <c r="R36" s="115"/>
      <c r="S36" s="115"/>
      <c r="T36" s="115"/>
      <c r="U36" s="115"/>
    </row>
    <row r="37" spans="1:21" ht="12.75">
      <c r="A37" s="115"/>
      <c r="B37" s="115">
        <v>1.2148691919163797</v>
      </c>
      <c r="C37" s="115">
        <v>1.0454984439899997</v>
      </c>
      <c r="D37" s="115">
        <v>1.0150470329999997</v>
      </c>
      <c r="E37" s="115">
        <v>1.0040029999999998</v>
      </c>
      <c r="F37" s="115">
        <v>1.001</v>
      </c>
      <c r="G37" s="115">
        <v>1</v>
      </c>
      <c r="H37" s="115"/>
      <c r="I37" s="115"/>
      <c r="J37" s="115"/>
      <c r="K37" s="129">
        <f>+K38-1</f>
        <v>2008</v>
      </c>
      <c r="L37" s="165">
        <f t="shared" si="0"/>
        <v>1.165</v>
      </c>
      <c r="M37" s="165">
        <f t="shared" si="0"/>
        <v>1.034</v>
      </c>
      <c r="N37" s="165"/>
      <c r="O37" s="165"/>
      <c r="P37" s="165"/>
      <c r="Q37" s="169"/>
      <c r="R37" s="115"/>
      <c r="S37" s="115"/>
      <c r="T37" s="115"/>
      <c r="U37" s="115"/>
    </row>
    <row r="38" spans="1:2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29">
        <f>+K39-1</f>
        <v>2009</v>
      </c>
      <c r="L38" s="165">
        <f t="shared" si="0"/>
        <v>1.159</v>
      </c>
      <c r="M38" s="165"/>
      <c r="N38" s="165"/>
      <c r="O38" s="165"/>
      <c r="P38" s="165"/>
      <c r="Q38" s="169"/>
      <c r="R38" s="115"/>
      <c r="S38" s="115"/>
      <c r="T38" s="115"/>
      <c r="U38" s="115"/>
    </row>
    <row r="39" spans="1:2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09">
        <f>A11</f>
        <v>2010</v>
      </c>
      <c r="L39" s="173"/>
      <c r="M39" s="173"/>
      <c r="N39" s="173"/>
      <c r="O39" s="173"/>
      <c r="P39" s="173"/>
      <c r="Q39" s="174"/>
      <c r="R39" s="115"/>
      <c r="S39" s="115"/>
      <c r="T39" s="115"/>
      <c r="U39" s="115"/>
    </row>
    <row r="40" spans="1:21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1"/>
      <c r="M40" s="151"/>
      <c r="N40" s="151"/>
      <c r="O40" s="151"/>
      <c r="P40" s="151"/>
      <c r="Q40" s="155"/>
      <c r="R40" s="115"/>
      <c r="S40" s="115"/>
      <c r="T40" s="115"/>
      <c r="U40" s="115"/>
    </row>
    <row r="41" spans="1:2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50" t="s">
        <v>77</v>
      </c>
      <c r="L41" s="154">
        <f>AVERAGE(L34:L40)</f>
        <v>1.1618</v>
      </c>
      <c r="M41" s="154">
        <f>+AVERAGE(M34:M37)</f>
        <v>1.0285</v>
      </c>
      <c r="N41" s="154">
        <f>+AVERAGE(N34:N37)</f>
        <v>1.0106666666666666</v>
      </c>
      <c r="O41" s="154">
        <f>+AVERAGE(O34:O37)</f>
        <v>1.0034999999999998</v>
      </c>
      <c r="P41" s="154">
        <f>+AVERAGE(P34:P37)</f>
        <v>1.001</v>
      </c>
      <c r="Q41" s="180"/>
      <c r="R41" s="115"/>
      <c r="S41" s="115"/>
      <c r="T41" s="115"/>
      <c r="U41" s="115"/>
    </row>
    <row r="42" spans="1:21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50"/>
      <c r="L42" s="154"/>
      <c r="M42" s="154"/>
      <c r="N42" s="154"/>
      <c r="O42" s="154"/>
      <c r="P42" s="154"/>
      <c r="Q42" s="180"/>
      <c r="R42" s="115"/>
      <c r="S42" s="115"/>
      <c r="T42" s="115"/>
      <c r="U42" s="115"/>
    </row>
    <row r="43" spans="1:21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50" t="s">
        <v>78</v>
      </c>
      <c r="L43" s="154">
        <f>+AVERAGE(L36:L38)</f>
        <v>1.163</v>
      </c>
      <c r="M43" s="154">
        <f>+AVERAGE(M35:M37)</f>
        <v>1.0303333333333333</v>
      </c>
      <c r="N43" s="154">
        <f>+AVERAGE(N34:N36)</f>
        <v>1.0106666666666666</v>
      </c>
      <c r="O43" s="181" t="s">
        <v>15</v>
      </c>
      <c r="P43" s="181" t="s">
        <v>15</v>
      </c>
      <c r="Q43" s="180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50"/>
      <c r="L44" s="154"/>
      <c r="M44" s="154"/>
      <c r="N44" s="154"/>
      <c r="O44" s="154"/>
      <c r="P44" s="154"/>
      <c r="Q44" s="180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50" t="s">
        <v>79</v>
      </c>
      <c r="L45" s="154">
        <f>+(SUM(L34:L38)-MIN(L34:L38)-MAX(L34:L38))/3</f>
        <v>1.162</v>
      </c>
      <c r="M45" s="154">
        <f>+(SUM(M34:M37)-MIN(M34:M37)-MAX(M34:M37))/2</f>
        <v>1.0285000000000002</v>
      </c>
      <c r="N45" s="154">
        <f>+N35</f>
        <v>1.011</v>
      </c>
      <c r="O45" s="181" t="s">
        <v>15</v>
      </c>
      <c r="P45" s="181" t="s">
        <v>15</v>
      </c>
      <c r="Q45" s="180"/>
      <c r="R45" s="115"/>
      <c r="S45" s="115"/>
      <c r="T45" s="115"/>
      <c r="U45" s="115"/>
    </row>
    <row r="46" spans="1:21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50"/>
      <c r="L46" s="154"/>
      <c r="M46" s="154"/>
      <c r="N46" s="154"/>
      <c r="O46" s="154"/>
      <c r="P46" s="154"/>
      <c r="Q46" s="180"/>
      <c r="R46" s="115"/>
      <c r="S46" s="115"/>
      <c r="T46" s="115"/>
      <c r="U46" s="115"/>
    </row>
    <row r="47" spans="1:21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50" t="s">
        <v>80</v>
      </c>
      <c r="L47" s="154">
        <f>+L19</f>
        <v>1.1618091464643072</v>
      </c>
      <c r="M47" s="154">
        <f>+M19</f>
        <v>1.0290123221302407</v>
      </c>
      <c r="N47" s="154">
        <f>+N19</f>
        <v>1.010928961748634</v>
      </c>
      <c r="O47" s="154">
        <f>+O19</f>
        <v>1.0032660581190855</v>
      </c>
      <c r="P47" s="154">
        <f>+P19</f>
        <v>1.001</v>
      </c>
      <c r="Q47" s="180"/>
      <c r="R47" s="115"/>
      <c r="S47" s="115"/>
      <c r="T47" s="115"/>
      <c r="U47" s="115"/>
    </row>
    <row r="48" spans="1:21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50"/>
      <c r="L48" s="154"/>
      <c r="M48" s="154"/>
      <c r="N48" s="154"/>
      <c r="O48" s="154"/>
      <c r="P48" s="154"/>
      <c r="Q48" s="180"/>
      <c r="R48" s="115"/>
      <c r="S48" s="115"/>
      <c r="T48" s="115"/>
      <c r="U48" s="115"/>
    </row>
    <row r="49" spans="1:21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50" t="s">
        <v>81</v>
      </c>
      <c r="L49" s="154">
        <f>+L21</f>
        <v>1.162</v>
      </c>
      <c r="M49" s="154">
        <f>+M21</f>
        <v>1.03</v>
      </c>
      <c r="N49" s="154">
        <f>+N21</f>
        <v>1.011</v>
      </c>
      <c r="O49" s="154">
        <f>+O21</f>
        <v>1.003</v>
      </c>
      <c r="P49" s="154">
        <f>+P21</f>
        <v>1.001</v>
      </c>
      <c r="Q49" s="180">
        <v>1</v>
      </c>
      <c r="R49" s="115"/>
      <c r="S49" s="115"/>
      <c r="T49" s="115"/>
      <c r="U49" s="115"/>
    </row>
    <row r="50" spans="1:21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47"/>
      <c r="L50" s="185"/>
      <c r="M50" s="185"/>
      <c r="N50" s="185"/>
      <c r="O50" s="185"/>
      <c r="P50" s="185"/>
      <c r="Q50" s="186"/>
      <c r="R50" s="115"/>
      <c r="S50" s="115"/>
      <c r="T50" s="115"/>
      <c r="U50" s="115"/>
    </row>
    <row r="51" spans="1:21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56" t="s">
        <v>84</v>
      </c>
      <c r="L51" s="187">
        <f>+L49*M51</f>
        <v>1.2148691919163797</v>
      </c>
      <c r="M51" s="187">
        <f>+M49*N51</f>
        <v>1.0454984439899997</v>
      </c>
      <c r="N51" s="187">
        <f>+N49*O51</f>
        <v>1.0150470329999997</v>
      </c>
      <c r="O51" s="187">
        <f>+O49*P51</f>
        <v>1.0040029999999998</v>
      </c>
      <c r="P51" s="187">
        <f>+P49*Q51</f>
        <v>1.001</v>
      </c>
      <c r="Q51" s="188">
        <f>+Q49</f>
        <v>1</v>
      </c>
      <c r="R51" s="115"/>
      <c r="S51" s="115"/>
      <c r="T51" s="115"/>
      <c r="U51" s="115"/>
    </row>
    <row r="52" spans="1:21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91" t="s">
        <v>141</v>
      </c>
      <c r="L53" s="192"/>
      <c r="M53" s="192"/>
      <c r="N53" s="192"/>
      <c r="O53" s="192"/>
      <c r="P53" s="192"/>
      <c r="Q53" s="193"/>
      <c r="R53" s="115"/>
      <c r="S53" s="115"/>
      <c r="T53" s="115"/>
      <c r="U53" s="115"/>
    </row>
    <row r="54" spans="1:2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94" t="s">
        <v>142</v>
      </c>
      <c r="L54" s="195">
        <f aca="true" t="shared" si="1" ref="L54:Q54">1-(1/L51)</f>
        <v>0.176866113114151</v>
      </c>
      <c r="M54" s="195">
        <f t="shared" si="1"/>
        <v>0.04351842343864343</v>
      </c>
      <c r="N54" s="195">
        <f t="shared" si="1"/>
        <v>0.014823976141802753</v>
      </c>
      <c r="O54" s="195">
        <f t="shared" si="1"/>
        <v>0.003987039879362664</v>
      </c>
      <c r="P54" s="195">
        <f t="shared" si="1"/>
        <v>0.0009990009990008542</v>
      </c>
      <c r="Q54" s="196">
        <f t="shared" si="1"/>
        <v>0</v>
      </c>
      <c r="R54" s="115"/>
      <c r="S54" s="115"/>
      <c r="T54" s="115"/>
      <c r="U54" s="115"/>
    </row>
    <row r="55" spans="1:2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99"/>
      <c r="L58" s="412" t="s">
        <v>7</v>
      </c>
      <c r="M58" s="412"/>
      <c r="N58" s="412"/>
      <c r="O58" s="261"/>
      <c r="P58" s="261"/>
      <c r="Q58" s="262"/>
      <c r="R58" s="115"/>
      <c r="S58" s="115"/>
      <c r="T58" s="115"/>
      <c r="U58" s="115"/>
    </row>
    <row r="59" spans="1:2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245" t="s">
        <v>1</v>
      </c>
      <c r="L59" s="413"/>
      <c r="M59" s="413"/>
      <c r="N59" s="413"/>
      <c r="O59" s="261"/>
      <c r="P59" s="261"/>
      <c r="Q59" s="262"/>
      <c r="R59" s="115"/>
      <c r="S59" s="115"/>
      <c r="T59" s="115"/>
      <c r="U59" s="115"/>
    </row>
    <row r="60" spans="1:2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247" t="s">
        <v>4</v>
      </c>
      <c r="L60" s="414" t="s">
        <v>9</v>
      </c>
      <c r="M60" s="414" t="s">
        <v>10</v>
      </c>
      <c r="N60" s="414" t="s">
        <v>11</v>
      </c>
      <c r="O60" s="261"/>
      <c r="P60" s="261"/>
      <c r="Q60" s="262"/>
      <c r="R60" s="115"/>
      <c r="S60" s="115"/>
      <c r="T60" s="115"/>
      <c r="U60" s="115"/>
    </row>
    <row r="61" spans="1:2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241">
        <f>+K62-1</f>
        <v>2005</v>
      </c>
      <c r="L61" s="317">
        <f aca="true" t="shared" si="2" ref="L61:N62">+L6</f>
        <v>1.162</v>
      </c>
      <c r="M61" s="317">
        <f t="shared" si="2"/>
        <v>1.023</v>
      </c>
      <c r="N61" s="317">
        <f t="shared" si="2"/>
        <v>1.009</v>
      </c>
      <c r="O61" s="261"/>
      <c r="P61" s="261"/>
      <c r="Q61" s="262"/>
      <c r="R61" s="115"/>
      <c r="S61" s="115"/>
      <c r="T61" s="115"/>
      <c r="U61" s="115"/>
    </row>
    <row r="62" spans="1:2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245">
        <f>+K63-1</f>
        <v>2006</v>
      </c>
      <c r="L62" s="317">
        <f t="shared" si="2"/>
        <v>1.158</v>
      </c>
      <c r="M62" s="317">
        <f t="shared" si="2"/>
        <v>1.028</v>
      </c>
      <c r="N62" s="317">
        <f t="shared" si="2"/>
        <v>1.011</v>
      </c>
      <c r="O62" s="261"/>
      <c r="P62" s="261"/>
      <c r="Q62" s="262"/>
      <c r="R62" s="115"/>
      <c r="S62" s="115"/>
      <c r="T62" s="115"/>
      <c r="U62" s="115"/>
    </row>
    <row r="63" spans="1:2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245">
        <f>+K64-1</f>
        <v>2007</v>
      </c>
      <c r="L63" s="317">
        <f aca="true" t="shared" si="3" ref="L63:N65">+L8</f>
        <v>1.165</v>
      </c>
      <c r="M63" s="317">
        <f t="shared" si="3"/>
        <v>1.029</v>
      </c>
      <c r="N63" s="317">
        <f t="shared" si="3"/>
        <v>1.012</v>
      </c>
      <c r="O63" s="261"/>
      <c r="P63" s="261"/>
      <c r="Q63" s="262"/>
      <c r="R63" s="115"/>
      <c r="S63" s="115"/>
      <c r="T63" s="115"/>
      <c r="U63" s="115"/>
    </row>
    <row r="64" spans="1:2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245">
        <f>+K65-1</f>
        <v>2008</v>
      </c>
      <c r="L64" s="317">
        <f t="shared" si="3"/>
        <v>1.165</v>
      </c>
      <c r="M64" s="317">
        <f t="shared" si="3"/>
        <v>1.034</v>
      </c>
      <c r="N64" s="317"/>
      <c r="O64" s="261"/>
      <c r="P64" s="261"/>
      <c r="Q64" s="262"/>
      <c r="R64" s="115"/>
      <c r="S64" s="115"/>
      <c r="T64" s="115"/>
      <c r="U64" s="115"/>
    </row>
    <row r="65" spans="1:2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245">
        <f>+K66-1</f>
        <v>2009</v>
      </c>
      <c r="L65" s="317">
        <f t="shared" si="3"/>
        <v>1.159</v>
      </c>
      <c r="M65" s="317"/>
      <c r="N65" s="317"/>
      <c r="O65" s="261"/>
      <c r="P65" s="261"/>
      <c r="Q65" s="262"/>
      <c r="R65" s="115"/>
      <c r="S65" s="115"/>
      <c r="T65" s="115"/>
      <c r="U65" s="115"/>
    </row>
    <row r="66" spans="1:2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247">
        <f>A11</f>
        <v>2010</v>
      </c>
      <c r="L66" s="415"/>
      <c r="M66" s="415"/>
      <c r="N66" s="415"/>
      <c r="O66" s="261"/>
      <c r="P66" s="261"/>
      <c r="Q66" s="262"/>
      <c r="R66" s="115"/>
      <c r="S66" s="115"/>
      <c r="T66" s="115"/>
      <c r="U66" s="115"/>
    </row>
    <row r="67" spans="1:21" ht="4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416"/>
      <c r="L67" s="417"/>
      <c r="M67" s="417"/>
      <c r="N67" s="417"/>
      <c r="O67" s="261"/>
      <c r="P67" s="261"/>
      <c r="Q67" s="262"/>
      <c r="R67" s="115"/>
      <c r="S67" s="115"/>
      <c r="T67" s="115"/>
      <c r="U67" s="115"/>
    </row>
    <row r="68" spans="1:2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416" t="s">
        <v>81</v>
      </c>
      <c r="L68" s="418">
        <f>+L21</f>
        <v>1.162</v>
      </c>
      <c r="M68" s="418">
        <f>+M21</f>
        <v>1.03</v>
      </c>
      <c r="N68" s="418">
        <f>+N21</f>
        <v>1.011</v>
      </c>
      <c r="O68" s="261"/>
      <c r="P68" s="261"/>
      <c r="Q68" s="262"/>
      <c r="R68" s="115"/>
      <c r="S68" s="115"/>
      <c r="T68" s="115"/>
      <c r="U68" s="115"/>
    </row>
    <row r="69" spans="1:21" ht="4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255"/>
      <c r="L69" s="419"/>
      <c r="M69" s="419"/>
      <c r="N69" s="419"/>
      <c r="O69" s="261"/>
      <c r="P69" s="261"/>
      <c r="Q69" s="262"/>
      <c r="R69" s="115"/>
      <c r="S69" s="115"/>
      <c r="T69" s="115"/>
      <c r="U69" s="115"/>
    </row>
    <row r="70" spans="1:2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358" t="s">
        <v>84</v>
      </c>
      <c r="L70" s="420">
        <f>+L23</f>
        <v>1.2148691919163797</v>
      </c>
      <c r="M70" s="420">
        <f>+M23</f>
        <v>1.0454984439899997</v>
      </c>
      <c r="N70" s="420">
        <f>+N23</f>
        <v>1.0150470329999997</v>
      </c>
      <c r="O70" s="261"/>
      <c r="P70" s="261"/>
      <c r="Q70" s="262"/>
      <c r="R70" s="146" t="s">
        <v>139</v>
      </c>
      <c r="S70" s="115"/>
      <c r="T70" s="115"/>
      <c r="U70" s="146" t="s">
        <v>140</v>
      </c>
    </row>
    <row r="71" spans="1:2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417"/>
      <c r="L71" s="418"/>
      <c r="M71" s="418"/>
      <c r="N71" s="418"/>
      <c r="O71" s="261"/>
      <c r="P71" s="261"/>
      <c r="Q71" s="262"/>
      <c r="R71" s="115"/>
      <c r="S71" s="115"/>
      <c r="T71" s="115"/>
      <c r="U71" s="115"/>
    </row>
    <row r="72" spans="1:2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421" t="s">
        <v>141</v>
      </c>
      <c r="L72" s="422"/>
      <c r="M72" s="422"/>
      <c r="N72" s="422"/>
      <c r="O72" s="422"/>
      <c r="P72" s="422"/>
      <c r="Q72" s="425"/>
      <c r="R72" s="115"/>
      <c r="S72" s="154"/>
      <c r="T72" s="154"/>
      <c r="U72" s="115"/>
    </row>
    <row r="73" spans="1:2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417"/>
      <c r="L73" s="261"/>
      <c r="M73" s="261"/>
      <c r="N73" s="261"/>
      <c r="O73" s="261"/>
      <c r="P73" s="261"/>
      <c r="Q73" s="262"/>
      <c r="R73" s="154"/>
      <c r="S73" s="154"/>
      <c r="T73" s="154"/>
      <c r="U73" s="115"/>
    </row>
    <row r="74" spans="1:2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417"/>
      <c r="L74" s="261"/>
      <c r="M74" s="261"/>
      <c r="N74" s="261"/>
      <c r="O74" s="261"/>
      <c r="P74" s="261"/>
      <c r="Q74" s="262"/>
      <c r="R74" s="154"/>
      <c r="S74" s="154"/>
      <c r="T74" s="154"/>
      <c r="U74" s="115"/>
    </row>
    <row r="75" spans="1:2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261"/>
      <c r="L75" s="261"/>
      <c r="M75" s="261"/>
      <c r="N75" s="261"/>
      <c r="O75" s="261"/>
      <c r="P75" s="261"/>
      <c r="Q75" s="262"/>
      <c r="R75" s="115"/>
      <c r="S75" s="115"/>
      <c r="T75" s="115"/>
      <c r="U75" s="115"/>
    </row>
    <row r="76" spans="1:2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423" t="s">
        <v>142</v>
      </c>
      <c r="L76" s="424">
        <f>1-(1/L70)</f>
        <v>0.176866113114151</v>
      </c>
      <c r="M76" s="424">
        <f>1-(1/M70)</f>
        <v>0.04351842343864343</v>
      </c>
      <c r="N76" s="424">
        <f>1-(1/N70)</f>
        <v>0.014823976141802753</v>
      </c>
      <c r="O76" s="243"/>
      <c r="P76" s="243"/>
      <c r="Q76" s="426"/>
      <c r="R76" s="115"/>
      <c r="S76" s="115"/>
      <c r="T76" s="115"/>
      <c r="U76" s="115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421875" style="7" customWidth="1"/>
    <col min="2" max="10" width="9.140625" style="7" customWidth="1"/>
    <col min="11" max="11" width="21.57421875" style="7" customWidth="1"/>
    <col min="12" max="16384" width="9.140625" style="7" customWidth="1"/>
  </cols>
  <sheetData>
    <row r="1" spans="1:2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2.75">
      <c r="A3" s="111"/>
      <c r="B3" s="112" t="s">
        <v>7</v>
      </c>
      <c r="C3" s="113"/>
      <c r="D3" s="113"/>
      <c r="E3" s="113"/>
      <c r="F3" s="113"/>
      <c r="G3" s="114"/>
      <c r="H3" s="115"/>
      <c r="I3" s="115"/>
      <c r="J3" s="115"/>
      <c r="K3" s="116"/>
      <c r="L3" s="118" t="s">
        <v>7</v>
      </c>
      <c r="M3" s="118"/>
      <c r="N3" s="118"/>
      <c r="O3" s="118"/>
      <c r="P3" s="118"/>
      <c r="Q3" s="119"/>
      <c r="R3" s="115"/>
      <c r="S3" s="115"/>
      <c r="T3" s="115"/>
      <c r="U3" s="115"/>
    </row>
    <row r="4" spans="1:21" ht="12.75">
      <c r="A4" s="127" t="s">
        <v>1</v>
      </c>
      <c r="B4" s="159"/>
      <c r="C4" s="159"/>
      <c r="D4" s="159"/>
      <c r="E4" s="159"/>
      <c r="F4" s="159"/>
      <c r="G4" s="160" t="s">
        <v>8</v>
      </c>
      <c r="H4" s="115"/>
      <c r="I4" s="115"/>
      <c r="J4" s="115"/>
      <c r="K4" s="129" t="s">
        <v>1</v>
      </c>
      <c r="L4" s="161"/>
      <c r="M4" s="161"/>
      <c r="N4" s="161"/>
      <c r="O4" s="161"/>
      <c r="P4" s="161"/>
      <c r="Q4" s="162" t="s">
        <v>8</v>
      </c>
      <c r="R4" s="115"/>
      <c r="S4" s="115"/>
      <c r="T4" s="115"/>
      <c r="U4" s="115"/>
    </row>
    <row r="5" spans="1:21" ht="12.75">
      <c r="A5" s="108" t="s">
        <v>4</v>
      </c>
      <c r="B5" s="163" t="s">
        <v>9</v>
      </c>
      <c r="C5" s="163" t="s">
        <v>10</v>
      </c>
      <c r="D5" s="163" t="s">
        <v>11</v>
      </c>
      <c r="E5" s="163" t="s">
        <v>12</v>
      </c>
      <c r="F5" s="163" t="s">
        <v>13</v>
      </c>
      <c r="G5" s="137" t="s">
        <v>14</v>
      </c>
      <c r="H5" s="115"/>
      <c r="I5" s="115"/>
      <c r="J5" s="115"/>
      <c r="K5" s="109" t="s">
        <v>4</v>
      </c>
      <c r="L5" s="164" t="s">
        <v>9</v>
      </c>
      <c r="M5" s="164" t="s">
        <v>10</v>
      </c>
      <c r="N5" s="164" t="s">
        <v>11</v>
      </c>
      <c r="O5" s="164" t="s">
        <v>12</v>
      </c>
      <c r="P5" s="164" t="s">
        <v>13</v>
      </c>
      <c r="Q5" s="109" t="s">
        <v>14</v>
      </c>
      <c r="R5" s="115"/>
      <c r="S5" s="115"/>
      <c r="T5" s="115"/>
      <c r="U5" s="115"/>
    </row>
    <row r="6" spans="1:21" ht="12.75">
      <c r="A6" s="136">
        <f>+A7-1</f>
        <v>2005</v>
      </c>
      <c r="B6" s="165">
        <f>ROUND('Sensitivity Analysis'!N15/'Sensitivity Analysis'!M15,3)</f>
        <v>1.162</v>
      </c>
      <c r="C6" s="165">
        <f>ROUND('Sensitivity Analysis'!O15/'Sensitivity Analysis'!N15,3)</f>
        <v>1.023</v>
      </c>
      <c r="D6" s="165">
        <f>ROUND('Sensitivity Analysis'!P15/'Sensitivity Analysis'!O15,3)</f>
        <v>1.009</v>
      </c>
      <c r="E6" s="165">
        <f>ROUND('Sensitivity Analysis'!Q15/'Sensitivity Analysis'!P15,3)</f>
        <v>1.004</v>
      </c>
      <c r="F6" s="165">
        <f>ROUND('Sensitivity Analysis'!R15/'Sensitivity Analysis'!Q15,3)</f>
        <v>1.001</v>
      </c>
      <c r="G6" s="166" t="s">
        <v>6</v>
      </c>
      <c r="H6" s="115"/>
      <c r="I6" s="115"/>
      <c r="J6" s="115"/>
      <c r="K6" s="123">
        <f>+K7-1</f>
        <v>2005</v>
      </c>
      <c r="L6" s="165">
        <f>ROUND('Sensitivity Analysis'!N15/'Sensitivity Analysis'!M15,3)</f>
        <v>1.162</v>
      </c>
      <c r="M6" s="165">
        <f>ROUND('Sensitivity Analysis'!O15/'Sensitivity Analysis'!N15,3)</f>
        <v>1.023</v>
      </c>
      <c r="N6" s="165">
        <f>ROUND('Sensitivity Analysis'!P15/'Sensitivity Analysis'!O15,3)</f>
        <v>1.009</v>
      </c>
      <c r="O6" s="165">
        <f>ROUND('Sensitivity Analysis'!Q15/'Sensitivity Analysis'!P15,3)</f>
        <v>1.004</v>
      </c>
      <c r="P6" s="165">
        <f>ROUND('Sensitivity Analysis'!R15/'Sensitivity Analysis'!Q15,3)</f>
        <v>1.001</v>
      </c>
      <c r="Q6" s="167" t="s">
        <v>6</v>
      </c>
      <c r="R6" s="115"/>
      <c r="S6" s="115"/>
      <c r="T6" s="115"/>
      <c r="U6" s="115"/>
    </row>
    <row r="7" spans="1:21" ht="12.75">
      <c r="A7" s="136">
        <f>+A8-1</f>
        <v>2006</v>
      </c>
      <c r="B7" s="165">
        <f>ROUND('Sensitivity Analysis'!N16/'Sensitivity Analysis'!M16,3)</f>
        <v>1.158</v>
      </c>
      <c r="C7" s="165">
        <f>ROUND('Sensitivity Analysis'!O16/'Sensitivity Analysis'!N16,3)</f>
        <v>1.028</v>
      </c>
      <c r="D7" s="165">
        <f>ROUND('Sensitivity Analysis'!P16/'Sensitivity Analysis'!O16,3)</f>
        <v>1.011</v>
      </c>
      <c r="E7" s="165">
        <f>ROUND('Sensitivity Analysis'!Q16/'Sensitivity Analysis'!P16,3)</f>
        <v>1.003</v>
      </c>
      <c r="F7" s="165"/>
      <c r="G7" s="168"/>
      <c r="H7" s="115"/>
      <c r="I7" s="115"/>
      <c r="J7" s="115"/>
      <c r="K7" s="129">
        <f>+K8-1</f>
        <v>2006</v>
      </c>
      <c r="L7" s="165">
        <f>ROUND('Sensitivity Analysis'!N16/'Sensitivity Analysis'!M16,3)</f>
        <v>1.158</v>
      </c>
      <c r="M7" s="165">
        <f>ROUND('Sensitivity Analysis'!O16/'Sensitivity Analysis'!N16,3)</f>
        <v>1.028</v>
      </c>
      <c r="N7" s="165">
        <f>ROUND('Sensitivity Analysis'!P16/'Sensitivity Analysis'!O16,3)</f>
        <v>1.011</v>
      </c>
      <c r="O7" s="165">
        <f>ROUND('Sensitivity Analysis'!Q16/'Sensitivity Analysis'!P16,3)</f>
        <v>1.003</v>
      </c>
      <c r="P7" s="165"/>
      <c r="Q7" s="169"/>
      <c r="R7" s="115"/>
      <c r="S7" s="115"/>
      <c r="T7" s="115"/>
      <c r="U7" s="115"/>
    </row>
    <row r="8" spans="1:21" ht="12.75">
      <c r="A8" s="136">
        <f>+A9-1</f>
        <v>2007</v>
      </c>
      <c r="B8" s="165">
        <f>ROUND('Sensitivity Analysis'!N17/'Sensitivity Analysis'!M17,3)</f>
        <v>1.165</v>
      </c>
      <c r="C8" s="165">
        <f>ROUND('Sensitivity Analysis'!O17/'Sensitivity Analysis'!N17,3)</f>
        <v>1.029</v>
      </c>
      <c r="D8" s="165">
        <f>ROUND('Sensitivity Analysis'!P17/'Sensitivity Analysis'!O17,3)</f>
        <v>1.012</v>
      </c>
      <c r="E8" s="165"/>
      <c r="F8" s="165"/>
      <c r="G8" s="168"/>
      <c r="H8" s="115"/>
      <c r="I8" s="115"/>
      <c r="J8" s="115"/>
      <c r="K8" s="129">
        <f>+K9-1</f>
        <v>2007</v>
      </c>
      <c r="L8" s="165">
        <f>ROUND('Sensitivity Analysis'!N17/'Sensitivity Analysis'!M17,3)</f>
        <v>1.165</v>
      </c>
      <c r="M8" s="165">
        <f>ROUND('Sensitivity Analysis'!O17/'Sensitivity Analysis'!N17,3)</f>
        <v>1.029</v>
      </c>
      <c r="N8" s="165">
        <f>ROUND('Sensitivity Analysis'!P17/'Sensitivity Analysis'!O17,3)</f>
        <v>1.012</v>
      </c>
      <c r="O8" s="165"/>
      <c r="P8" s="165"/>
      <c r="Q8" s="169"/>
      <c r="R8" s="115"/>
      <c r="S8" s="115"/>
      <c r="T8" s="115"/>
      <c r="U8" s="115"/>
    </row>
    <row r="9" spans="1:21" ht="12.75">
      <c r="A9" s="136">
        <f>+A10-1</f>
        <v>2008</v>
      </c>
      <c r="B9" s="165">
        <f>ROUND('Sensitivity Analysis'!N18/'Sensitivity Analysis'!M18,3)</f>
        <v>1.165</v>
      </c>
      <c r="C9" s="165">
        <f>ROUND('Sensitivity Analysis'!O18/'Sensitivity Analysis'!N18,3)</f>
        <v>1.034</v>
      </c>
      <c r="D9" s="165"/>
      <c r="E9" s="165"/>
      <c r="F9" s="165"/>
      <c r="G9" s="168"/>
      <c r="H9" s="115"/>
      <c r="I9" s="115"/>
      <c r="J9" s="115"/>
      <c r="K9" s="129">
        <f>+K10-1</f>
        <v>2008</v>
      </c>
      <c r="L9" s="165">
        <f>ROUND('Sensitivity Analysis'!N18/'Sensitivity Analysis'!M18,3)</f>
        <v>1.165</v>
      </c>
      <c r="M9" s="165">
        <f>ROUND('Sensitivity Analysis'!O18/'Sensitivity Analysis'!N18,3)</f>
        <v>1.034</v>
      </c>
      <c r="N9" s="165"/>
      <c r="O9" s="165"/>
      <c r="P9" s="165"/>
      <c r="Q9" s="169"/>
      <c r="R9" s="115"/>
      <c r="S9" s="115"/>
      <c r="T9" s="115"/>
      <c r="U9" s="115"/>
    </row>
    <row r="10" spans="1:21" ht="12.75">
      <c r="A10" s="136">
        <f>+A11-1</f>
        <v>2009</v>
      </c>
      <c r="B10" s="165">
        <f>ROUND('Sensitivity Analysis'!N19/'Sensitivity Analysis'!M19,3)</f>
        <v>1.159</v>
      </c>
      <c r="C10" s="165"/>
      <c r="D10" s="165"/>
      <c r="E10" s="165"/>
      <c r="F10" s="165"/>
      <c r="G10" s="168"/>
      <c r="H10" s="115"/>
      <c r="I10" s="115"/>
      <c r="J10" s="115"/>
      <c r="K10" s="129">
        <f>+K11-1</f>
        <v>2009</v>
      </c>
      <c r="L10" s="165">
        <f>ROUND('Sensitivity Analysis'!N19/'Sensitivity Analysis'!M19,3)</f>
        <v>1.159</v>
      </c>
      <c r="M10" s="165"/>
      <c r="N10" s="165"/>
      <c r="O10" s="165"/>
      <c r="P10" s="165"/>
      <c r="Q10" s="169"/>
      <c r="R10" s="115"/>
      <c r="S10" s="115"/>
      <c r="T10" s="115"/>
      <c r="U10" s="115"/>
    </row>
    <row r="11" spans="1:21" ht="12.75">
      <c r="A11" s="137">
        <f>latest_year</f>
        <v>2010</v>
      </c>
      <c r="B11" s="170"/>
      <c r="C11" s="171"/>
      <c r="D11" s="171"/>
      <c r="E11" s="171"/>
      <c r="F11" s="171"/>
      <c r="G11" s="172"/>
      <c r="H11" s="115"/>
      <c r="I11" s="115"/>
      <c r="J11" s="115"/>
      <c r="K11" s="109">
        <f>A11</f>
        <v>2010</v>
      </c>
      <c r="L11" s="173"/>
      <c r="M11" s="173"/>
      <c r="N11" s="173"/>
      <c r="O11" s="173"/>
      <c r="P11" s="173"/>
      <c r="Q11" s="174"/>
      <c r="R11" s="115"/>
      <c r="S11" s="115"/>
      <c r="T11" s="115"/>
      <c r="U11" s="115"/>
    </row>
    <row r="12" spans="1:21" ht="6.75" customHeight="1">
      <c r="A12" s="175"/>
      <c r="B12" s="176"/>
      <c r="C12" s="176"/>
      <c r="D12" s="176"/>
      <c r="E12" s="176"/>
      <c r="F12" s="176"/>
      <c r="G12" s="177"/>
      <c r="H12" s="115"/>
      <c r="I12" s="115"/>
      <c r="J12" s="115"/>
      <c r="K12" s="150"/>
      <c r="L12" s="151"/>
      <c r="M12" s="151"/>
      <c r="N12" s="151"/>
      <c r="O12" s="151"/>
      <c r="P12" s="151"/>
      <c r="Q12" s="155"/>
      <c r="R12" s="115"/>
      <c r="S12" s="115"/>
      <c r="T12" s="115"/>
      <c r="U12" s="115"/>
    </row>
    <row r="13" spans="1:21" ht="12.75">
      <c r="A13" s="178" t="s">
        <v>77</v>
      </c>
      <c r="B13" s="154">
        <f>AVERAGE(B6:B12)</f>
        <v>1.1618</v>
      </c>
      <c r="C13" s="154">
        <f>+AVERAGE(C6:C9)</f>
        <v>1.0285</v>
      </c>
      <c r="D13" s="154">
        <f>+AVERAGE(D6:D9)</f>
        <v>1.0106666666666666</v>
      </c>
      <c r="E13" s="154">
        <f>+AVERAGE(E6:E9)</f>
        <v>1.0034999999999998</v>
      </c>
      <c r="F13" s="154">
        <f>+AVERAGE(F6:F9)</f>
        <v>1.001</v>
      </c>
      <c r="G13" s="179"/>
      <c r="H13" s="115"/>
      <c r="I13" s="115"/>
      <c r="J13" s="115"/>
      <c r="K13" s="150" t="s">
        <v>77</v>
      </c>
      <c r="L13" s="154">
        <f>AVERAGE(L6:L12)</f>
        <v>1.1618</v>
      </c>
      <c r="M13" s="154">
        <f>+AVERAGE(M6:M9)</f>
        <v>1.0285</v>
      </c>
      <c r="N13" s="154">
        <f>+AVERAGE(N6:N9)</f>
        <v>1.0106666666666666</v>
      </c>
      <c r="O13" s="154">
        <f>+AVERAGE(O6:O9)</f>
        <v>1.0034999999999998</v>
      </c>
      <c r="P13" s="154">
        <f>+AVERAGE(P6:P9)</f>
        <v>1.001</v>
      </c>
      <c r="Q13" s="180"/>
      <c r="R13" s="115"/>
      <c r="S13" s="115"/>
      <c r="T13" s="115"/>
      <c r="U13" s="115"/>
    </row>
    <row r="14" spans="1:21" ht="6.75" customHeight="1">
      <c r="A14" s="178"/>
      <c r="B14" s="154"/>
      <c r="C14" s="154"/>
      <c r="D14" s="154"/>
      <c r="E14" s="154"/>
      <c r="F14" s="154"/>
      <c r="G14" s="179"/>
      <c r="H14" s="115"/>
      <c r="I14" s="115"/>
      <c r="J14" s="115"/>
      <c r="K14" s="150"/>
      <c r="L14" s="154"/>
      <c r="M14" s="154"/>
      <c r="N14" s="154"/>
      <c r="O14" s="154"/>
      <c r="P14" s="154"/>
      <c r="Q14" s="180"/>
      <c r="R14" s="115"/>
      <c r="S14" s="115"/>
      <c r="T14" s="115"/>
      <c r="U14" s="115"/>
    </row>
    <row r="15" spans="1:21" ht="12.75">
      <c r="A15" s="178" t="s">
        <v>78</v>
      </c>
      <c r="B15" s="154">
        <f>+AVERAGE(B8:B10)</f>
        <v>1.163</v>
      </c>
      <c r="C15" s="154">
        <f>+AVERAGE(C7:C9)</f>
        <v>1.0303333333333333</v>
      </c>
      <c r="D15" s="154">
        <f>+AVERAGE(D6:D8)</f>
        <v>1.0106666666666666</v>
      </c>
      <c r="E15" s="181" t="s">
        <v>15</v>
      </c>
      <c r="F15" s="181" t="s">
        <v>15</v>
      </c>
      <c r="G15" s="179"/>
      <c r="H15" s="115"/>
      <c r="I15" s="115"/>
      <c r="J15" s="115"/>
      <c r="K15" s="150" t="s">
        <v>78</v>
      </c>
      <c r="L15" s="154">
        <f>+AVERAGE(L8:L10)</f>
        <v>1.163</v>
      </c>
      <c r="M15" s="154">
        <f>+AVERAGE(M7:M9)</f>
        <v>1.0303333333333333</v>
      </c>
      <c r="N15" s="154">
        <f>+AVERAGE(N6:N8)</f>
        <v>1.0106666666666666</v>
      </c>
      <c r="O15" s="181" t="s">
        <v>15</v>
      </c>
      <c r="P15" s="181" t="s">
        <v>15</v>
      </c>
      <c r="Q15" s="180"/>
      <c r="R15" s="115"/>
      <c r="S15" s="115"/>
      <c r="T15" s="115"/>
      <c r="U15" s="115"/>
    </row>
    <row r="16" spans="1:21" ht="6.75" customHeight="1">
      <c r="A16" s="178"/>
      <c r="B16" s="154"/>
      <c r="C16" s="154"/>
      <c r="D16" s="154"/>
      <c r="E16" s="154"/>
      <c r="F16" s="154"/>
      <c r="G16" s="179"/>
      <c r="H16" s="115"/>
      <c r="I16" s="115"/>
      <c r="J16" s="115"/>
      <c r="K16" s="150"/>
      <c r="L16" s="154"/>
      <c r="M16" s="154"/>
      <c r="N16" s="154"/>
      <c r="O16" s="154"/>
      <c r="P16" s="154"/>
      <c r="Q16" s="180"/>
      <c r="R16" s="115"/>
      <c r="S16" s="115"/>
      <c r="T16" s="115"/>
      <c r="U16" s="115"/>
    </row>
    <row r="17" spans="1:21" ht="12.75">
      <c r="A17" s="178" t="s">
        <v>79</v>
      </c>
      <c r="B17" s="154">
        <f>+(SUM(B6:B10)-MIN(B6:B10)-MAX(B6:B10))/3</f>
        <v>1.162</v>
      </c>
      <c r="C17" s="154">
        <f>+(SUM(C6:C9)-MIN(C6:C9)-MAX(C6:C9))/2</f>
        <v>1.0285000000000002</v>
      </c>
      <c r="D17" s="154">
        <f>+D7</f>
        <v>1.011</v>
      </c>
      <c r="E17" s="181" t="s">
        <v>15</v>
      </c>
      <c r="F17" s="181" t="s">
        <v>15</v>
      </c>
      <c r="G17" s="179"/>
      <c r="H17" s="115"/>
      <c r="I17" s="115"/>
      <c r="J17" s="115"/>
      <c r="K17" s="150" t="s">
        <v>79</v>
      </c>
      <c r="L17" s="154">
        <f>+(SUM(L6:L10)-MIN(L6:L10)-MAX(L6:L10))/3</f>
        <v>1.162</v>
      </c>
      <c r="M17" s="154">
        <f>+(SUM(M6:M9)-MIN(M6:M9)-MAX(M6:M9))/2</f>
        <v>1.0285000000000002</v>
      </c>
      <c r="N17" s="154">
        <f>+N7</f>
        <v>1.011</v>
      </c>
      <c r="O17" s="181" t="s">
        <v>15</v>
      </c>
      <c r="P17" s="181" t="s">
        <v>15</v>
      </c>
      <c r="Q17" s="180"/>
      <c r="R17" s="115"/>
      <c r="S17" s="115"/>
      <c r="T17" s="115"/>
      <c r="U17" s="115"/>
    </row>
    <row r="18" spans="1:21" ht="6.75" customHeight="1">
      <c r="A18" s="178"/>
      <c r="B18" s="154"/>
      <c r="C18" s="154"/>
      <c r="D18" s="154"/>
      <c r="E18" s="154"/>
      <c r="F18" s="154"/>
      <c r="G18" s="179"/>
      <c r="H18" s="115"/>
      <c r="I18" s="115"/>
      <c r="J18" s="115"/>
      <c r="K18" s="150"/>
      <c r="L18" s="154"/>
      <c r="M18" s="154"/>
      <c r="N18" s="154"/>
      <c r="O18" s="154"/>
      <c r="P18" s="154"/>
      <c r="Q18" s="180"/>
      <c r="R18" s="115"/>
      <c r="S18" s="115"/>
      <c r="T18" s="115"/>
      <c r="U18" s="115"/>
    </row>
    <row r="19" spans="1:21" ht="12.75">
      <c r="A19" s="178" t="s">
        <v>80</v>
      </c>
      <c r="B19" s="154">
        <f>SUM('Sensitivity Analysis'!N15:N19)/SUM('Sensitivity Analysis'!M15:M19)</f>
        <v>1.1618091464643072</v>
      </c>
      <c r="C19" s="154">
        <f>SUM('Sensitivity Analysis'!O15:O18)/SUM('Sensitivity Analysis'!N15:N18)</f>
        <v>1.0290123221302407</v>
      </c>
      <c r="D19" s="154">
        <f>SUM('Sensitivity Analysis'!P15:P17)/SUM('Sensitivity Analysis'!O15:O17)</f>
        <v>1.010928961748634</v>
      </c>
      <c r="E19" s="154">
        <f>SUM('Sensitivity Analysis'!Q15:Q16)/SUM('Sensitivity Analysis'!P15:P16)</f>
        <v>1.0032660581190855</v>
      </c>
      <c r="F19" s="154">
        <f>'Sensitivity Analysis'!R15/'Sensitivity Analysis'!Q15</f>
        <v>1.0013351134846462</v>
      </c>
      <c r="G19" s="179"/>
      <c r="H19" s="115"/>
      <c r="I19" s="115"/>
      <c r="J19" s="115"/>
      <c r="K19" s="150" t="s">
        <v>80</v>
      </c>
      <c r="L19" s="154">
        <f>+B19</f>
        <v>1.1618091464643072</v>
      </c>
      <c r="M19" s="154">
        <f>+C19</f>
        <v>1.0290123221302407</v>
      </c>
      <c r="N19" s="154">
        <f>+D19</f>
        <v>1.010928961748634</v>
      </c>
      <c r="O19" s="154">
        <f>+E19</f>
        <v>1.0032660581190855</v>
      </c>
      <c r="P19" s="154">
        <f>+F19</f>
        <v>1.0013351134846462</v>
      </c>
      <c r="Q19" s="180"/>
      <c r="R19" s="115"/>
      <c r="S19" s="115"/>
      <c r="T19" s="115"/>
      <c r="U19" s="115"/>
    </row>
    <row r="20" spans="1:21" ht="6.75" customHeight="1">
      <c r="A20" s="178"/>
      <c r="B20" s="154"/>
      <c r="C20" s="154"/>
      <c r="D20" s="154"/>
      <c r="E20" s="154"/>
      <c r="F20" s="154"/>
      <c r="G20" s="179"/>
      <c r="H20" s="115"/>
      <c r="I20" s="115"/>
      <c r="J20" s="115"/>
      <c r="K20" s="150"/>
      <c r="L20" s="154"/>
      <c r="M20" s="154"/>
      <c r="N20" s="154"/>
      <c r="O20" s="154"/>
      <c r="P20" s="154"/>
      <c r="Q20" s="180"/>
      <c r="R20" s="115"/>
      <c r="S20" s="115"/>
      <c r="T20" s="115"/>
      <c r="U20" s="115"/>
    </row>
    <row r="21" spans="1:21" ht="12.75">
      <c r="A21" s="182" t="s">
        <v>81</v>
      </c>
      <c r="B21" s="183">
        <f>+ROUND(B17,3)</f>
        <v>1.162</v>
      </c>
      <c r="C21" s="183">
        <f>+ROUND(C15,3)</f>
        <v>1.03</v>
      </c>
      <c r="D21" s="183">
        <f>+ROUND(D13,3)</f>
        <v>1.011</v>
      </c>
      <c r="E21" s="183">
        <f>+ROUND(E19,3)</f>
        <v>1.003</v>
      </c>
      <c r="F21" s="183">
        <f>+ROUND(F13,3)</f>
        <v>1.001</v>
      </c>
      <c r="G21" s="184">
        <v>1</v>
      </c>
      <c r="H21" s="115"/>
      <c r="I21" s="115"/>
      <c r="J21" s="115"/>
      <c r="K21" s="150" t="s">
        <v>81</v>
      </c>
      <c r="L21" s="154">
        <f>+B21</f>
        <v>1.162</v>
      </c>
      <c r="M21" s="154">
        <f>+C21</f>
        <v>1.03</v>
      </c>
      <c r="N21" s="154">
        <f>+D21</f>
        <v>1.011</v>
      </c>
      <c r="O21" s="154">
        <f>+E21</f>
        <v>1.003</v>
      </c>
      <c r="P21" s="154">
        <f>+F21</f>
        <v>1.001</v>
      </c>
      <c r="Q21" s="180">
        <v>1</v>
      </c>
      <c r="R21" s="115"/>
      <c r="S21" s="115"/>
      <c r="T21" s="115"/>
      <c r="U21" s="115"/>
    </row>
    <row r="22" spans="1:21" ht="6.75" customHeight="1">
      <c r="A22" s="178"/>
      <c r="B22" s="154"/>
      <c r="C22" s="154"/>
      <c r="D22" s="154"/>
      <c r="E22" s="154"/>
      <c r="F22" s="154"/>
      <c r="G22" s="179"/>
      <c r="H22" s="115"/>
      <c r="I22" s="115"/>
      <c r="J22" s="115"/>
      <c r="K22" s="147"/>
      <c r="L22" s="185"/>
      <c r="M22" s="185"/>
      <c r="N22" s="185"/>
      <c r="O22" s="185"/>
      <c r="P22" s="185"/>
      <c r="Q22" s="186"/>
      <c r="R22" s="115"/>
      <c r="S22" s="115"/>
      <c r="T22" s="115"/>
      <c r="U22" s="115"/>
    </row>
    <row r="23" spans="1:21" ht="12.75">
      <c r="A23" s="182" t="s">
        <v>84</v>
      </c>
      <c r="B23" s="183">
        <f>+B21*C23</f>
        <v>1.2148691919163797</v>
      </c>
      <c r="C23" s="183">
        <f>+C21*D23</f>
        <v>1.0454984439899997</v>
      </c>
      <c r="D23" s="183">
        <f>+D21*E23</f>
        <v>1.0150470329999997</v>
      </c>
      <c r="E23" s="183">
        <f>+E21*F23</f>
        <v>1.0040029999999998</v>
      </c>
      <c r="F23" s="183">
        <f>+F21*G23</f>
        <v>1.001</v>
      </c>
      <c r="G23" s="184">
        <f>+G21</f>
        <v>1</v>
      </c>
      <c r="H23" s="115"/>
      <c r="I23" s="115"/>
      <c r="J23" s="115"/>
      <c r="K23" s="156" t="s">
        <v>84</v>
      </c>
      <c r="L23" s="187">
        <f>+L21*M23</f>
        <v>1.2148691919163797</v>
      </c>
      <c r="M23" s="187">
        <f>+M21*N23</f>
        <v>1.0454984439899997</v>
      </c>
      <c r="N23" s="187">
        <f>+N21*O23</f>
        <v>1.0150470329999997</v>
      </c>
      <c r="O23" s="187">
        <f>+O21*P23</f>
        <v>1.0040029999999998</v>
      </c>
      <c r="P23" s="187">
        <f>+P21*Q23</f>
        <v>1.001</v>
      </c>
      <c r="Q23" s="188">
        <f>+Q21</f>
        <v>1</v>
      </c>
      <c r="R23" s="115"/>
      <c r="S23" s="115"/>
      <c r="T23" s="115"/>
      <c r="U23" s="115"/>
    </row>
    <row r="24" spans="1:21" ht="12.75">
      <c r="A24" s="115"/>
      <c r="B24" s="189"/>
      <c r="C24" s="189"/>
      <c r="D24" s="189"/>
      <c r="E24" s="189"/>
      <c r="F24" s="189"/>
      <c r="G24" s="18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75">
      <c r="A25" s="115"/>
      <c r="B25" s="189"/>
      <c r="C25" s="189"/>
      <c r="D25" s="189"/>
      <c r="E25" s="189"/>
      <c r="F25" s="189"/>
      <c r="G25" s="189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2.75">
      <c r="A26" s="115"/>
      <c r="B26" s="189"/>
      <c r="C26" s="189"/>
      <c r="D26" s="189"/>
      <c r="E26" s="189"/>
      <c r="F26" s="189"/>
      <c r="G26" s="18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115"/>
      <c r="B27" s="189"/>
      <c r="C27" s="189"/>
      <c r="D27" s="189"/>
      <c r="E27" s="189"/>
      <c r="F27" s="189"/>
      <c r="G27" s="189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2.75">
      <c r="A28" s="115"/>
      <c r="B28" s="190"/>
      <c r="C28" s="190"/>
      <c r="D28" s="190"/>
      <c r="E28" s="115"/>
      <c r="F28" s="115"/>
      <c r="G28" s="18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299"/>
      <c r="L31" s="301" t="s">
        <v>7</v>
      </c>
      <c r="M31" s="301"/>
      <c r="N31" s="301"/>
      <c r="O31" s="301"/>
      <c r="P31" s="301"/>
      <c r="Q31" s="427"/>
      <c r="R31" s="262"/>
      <c r="S31" s="115"/>
      <c r="T31" s="115"/>
      <c r="U31" s="115"/>
    </row>
    <row r="32" spans="1:21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245" t="s">
        <v>1</v>
      </c>
      <c r="L32" s="413"/>
      <c r="M32" s="413"/>
      <c r="N32" s="413"/>
      <c r="O32" s="413"/>
      <c r="P32" s="413"/>
      <c r="Q32" s="428" t="s">
        <v>8</v>
      </c>
      <c r="R32" s="262"/>
      <c r="S32" s="115"/>
      <c r="T32" s="115"/>
      <c r="U32" s="115"/>
    </row>
    <row r="33" spans="1:21" ht="12.75">
      <c r="A33" s="115" t="s">
        <v>72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247" t="s">
        <v>4</v>
      </c>
      <c r="L33" s="414" t="s">
        <v>9</v>
      </c>
      <c r="M33" s="414" t="s">
        <v>10</v>
      </c>
      <c r="N33" s="414" t="s">
        <v>11</v>
      </c>
      <c r="O33" s="414" t="s">
        <v>12</v>
      </c>
      <c r="P33" s="414" t="s">
        <v>13</v>
      </c>
      <c r="Q33" s="247" t="s">
        <v>14</v>
      </c>
      <c r="R33" s="262"/>
      <c r="S33" s="115"/>
      <c r="T33" s="115"/>
      <c r="U33" s="115"/>
    </row>
    <row r="34" spans="1:21" ht="12.75">
      <c r="A34" s="115"/>
      <c r="B34" s="115">
        <v>1.162</v>
      </c>
      <c r="C34" s="190">
        <v>1.03</v>
      </c>
      <c r="D34" s="115">
        <v>1.011</v>
      </c>
      <c r="E34" s="115">
        <v>1.003</v>
      </c>
      <c r="F34" s="115">
        <v>1.001</v>
      </c>
      <c r="G34" s="115">
        <v>1</v>
      </c>
      <c r="H34" s="115"/>
      <c r="I34" s="115"/>
      <c r="J34" s="115"/>
      <c r="K34" s="241">
        <f>+K35-1</f>
        <v>2005</v>
      </c>
      <c r="L34" s="317">
        <f>'II-27'!L34</f>
        <v>1.162</v>
      </c>
      <c r="M34" s="317">
        <f>'II-27'!M34</f>
        <v>1.023</v>
      </c>
      <c r="N34" s="317">
        <f>'II-27'!N34</f>
        <v>1.009</v>
      </c>
      <c r="O34" s="317">
        <f>'II-27'!O34</f>
        <v>1.004</v>
      </c>
      <c r="P34" s="317">
        <f>'II-27'!P34</f>
        <v>1.001</v>
      </c>
      <c r="Q34" s="429" t="s">
        <v>6</v>
      </c>
      <c r="R34" s="262"/>
      <c r="S34" s="115"/>
      <c r="T34" s="115"/>
      <c r="U34" s="115"/>
    </row>
    <row r="35" spans="1:2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245">
        <f>+K36-1</f>
        <v>2006</v>
      </c>
      <c r="L35" s="317">
        <f>'II-27'!L35</f>
        <v>1.158</v>
      </c>
      <c r="M35" s="317">
        <f>'II-27'!M35</f>
        <v>1.028</v>
      </c>
      <c r="N35" s="317">
        <f>'II-27'!N35</f>
        <v>1.011</v>
      </c>
      <c r="O35" s="317">
        <f>'II-27'!O35</f>
        <v>1.003</v>
      </c>
      <c r="P35" s="317"/>
      <c r="Q35" s="429"/>
      <c r="R35" s="262"/>
      <c r="S35" s="115"/>
      <c r="T35" s="115"/>
      <c r="U35" s="115"/>
    </row>
    <row r="36" spans="1:21" ht="12.75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245">
        <f>+K37-1</f>
        <v>2007</v>
      </c>
      <c r="L36" s="317">
        <f>'II-27'!L36</f>
        <v>1.165</v>
      </c>
      <c r="M36" s="317">
        <f>'II-27'!M36</f>
        <v>1.029</v>
      </c>
      <c r="N36" s="317">
        <f>'II-27'!N36</f>
        <v>1.012</v>
      </c>
      <c r="O36" s="317"/>
      <c r="P36" s="317"/>
      <c r="Q36" s="429"/>
      <c r="R36" s="262"/>
      <c r="S36" s="115"/>
      <c r="T36" s="115"/>
      <c r="U36" s="115"/>
    </row>
    <row r="37" spans="1:21" ht="12.75">
      <c r="A37" s="115"/>
      <c r="B37" s="115">
        <v>1.2148691919163797</v>
      </c>
      <c r="C37" s="115">
        <v>1.0454984439899997</v>
      </c>
      <c r="D37" s="115">
        <v>1.0150470329999997</v>
      </c>
      <c r="E37" s="115">
        <v>1.0040029999999998</v>
      </c>
      <c r="F37" s="115">
        <v>1.001</v>
      </c>
      <c r="G37" s="115">
        <v>1</v>
      </c>
      <c r="H37" s="115"/>
      <c r="I37" s="115"/>
      <c r="J37" s="115"/>
      <c r="K37" s="245">
        <f>+K38-1</f>
        <v>2008</v>
      </c>
      <c r="L37" s="317">
        <f>'II-27'!L37</f>
        <v>1.165</v>
      </c>
      <c r="M37" s="317">
        <f>'II-27'!M37</f>
        <v>1.034</v>
      </c>
      <c r="N37" s="317"/>
      <c r="O37" s="317"/>
      <c r="P37" s="317"/>
      <c r="Q37" s="429"/>
      <c r="R37" s="262"/>
      <c r="S37" s="115"/>
      <c r="T37" s="115"/>
      <c r="U37" s="115"/>
    </row>
    <row r="38" spans="1:2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245">
        <f>+K39-1</f>
        <v>2009</v>
      </c>
      <c r="L38" s="317">
        <f>'II-27'!L38</f>
        <v>1.159</v>
      </c>
      <c r="M38" s="317"/>
      <c r="N38" s="317"/>
      <c r="O38" s="317"/>
      <c r="P38" s="317"/>
      <c r="Q38" s="429"/>
      <c r="R38" s="262"/>
      <c r="S38" s="115"/>
      <c r="T38" s="115"/>
      <c r="U38" s="115"/>
    </row>
    <row r="39" spans="1:2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247">
        <f>A11</f>
        <v>2010</v>
      </c>
      <c r="L39" s="415"/>
      <c r="M39" s="415"/>
      <c r="N39" s="415"/>
      <c r="O39" s="415"/>
      <c r="P39" s="415"/>
      <c r="Q39" s="430"/>
      <c r="R39" s="262"/>
      <c r="S39" s="115"/>
      <c r="T39" s="115"/>
      <c r="U39" s="115"/>
    </row>
    <row r="40" spans="1:21" ht="4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416"/>
      <c r="L40" s="417"/>
      <c r="M40" s="417"/>
      <c r="N40" s="417"/>
      <c r="O40" s="417"/>
      <c r="P40" s="417"/>
      <c r="Q40" s="431"/>
      <c r="R40" s="262"/>
      <c r="S40" s="115"/>
      <c r="T40" s="115"/>
      <c r="U40" s="115"/>
    </row>
    <row r="41" spans="1:2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416" t="s">
        <v>77</v>
      </c>
      <c r="L41" s="418">
        <f>AVERAGE(L34:L40)</f>
        <v>1.1618</v>
      </c>
      <c r="M41" s="418">
        <f>+AVERAGE(M34:M37)</f>
        <v>1.0285</v>
      </c>
      <c r="N41" s="418">
        <f>+AVERAGE(N34:N37)</f>
        <v>1.0106666666666666</v>
      </c>
      <c r="O41" s="418">
        <f>+AVERAGE(O34:O37)</f>
        <v>1.0034999999999998</v>
      </c>
      <c r="P41" s="418">
        <f>+AVERAGE(P34:P37)</f>
        <v>1.001</v>
      </c>
      <c r="Q41" s="432"/>
      <c r="R41" s="262"/>
      <c r="S41" s="115"/>
      <c r="T41" s="115"/>
      <c r="U41" s="115"/>
    </row>
    <row r="42" spans="1:21" ht="4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416"/>
      <c r="L42" s="418"/>
      <c r="M42" s="418"/>
      <c r="N42" s="418"/>
      <c r="O42" s="418"/>
      <c r="P42" s="418"/>
      <c r="Q42" s="432"/>
      <c r="R42" s="262"/>
      <c r="S42" s="115"/>
      <c r="T42" s="115"/>
      <c r="U42" s="115"/>
    </row>
    <row r="43" spans="1:21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416" t="s">
        <v>78</v>
      </c>
      <c r="L43" s="418">
        <f>+AVERAGE(L36:L38)</f>
        <v>1.163</v>
      </c>
      <c r="M43" s="418">
        <f>+AVERAGE(M35:M37)</f>
        <v>1.0303333333333333</v>
      </c>
      <c r="N43" s="418">
        <f>+AVERAGE(N34:N36)</f>
        <v>1.0106666666666666</v>
      </c>
      <c r="O43" s="433" t="s">
        <v>15</v>
      </c>
      <c r="P43" s="433" t="s">
        <v>15</v>
      </c>
      <c r="Q43" s="432"/>
      <c r="R43" s="262"/>
      <c r="S43" s="115"/>
      <c r="T43" s="115"/>
      <c r="U43" s="115"/>
    </row>
    <row r="44" spans="1:21" ht="4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416"/>
      <c r="L44" s="418"/>
      <c r="M44" s="418"/>
      <c r="N44" s="418"/>
      <c r="O44" s="418"/>
      <c r="P44" s="418"/>
      <c r="Q44" s="432"/>
      <c r="R44" s="262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416" t="s">
        <v>79</v>
      </c>
      <c r="L45" s="418">
        <f>+(SUM(L34:L38)-MIN(L34:L38)-MAX(L34:L38))/3</f>
        <v>1.162</v>
      </c>
      <c r="M45" s="418">
        <f>+(SUM(M34:M37)-MIN(M34:M37)-MAX(M34:M37))/2</f>
        <v>1.0285000000000002</v>
      </c>
      <c r="N45" s="418">
        <f>+N35</f>
        <v>1.011</v>
      </c>
      <c r="O45" s="433" t="s">
        <v>15</v>
      </c>
      <c r="P45" s="433" t="s">
        <v>15</v>
      </c>
      <c r="Q45" s="432"/>
      <c r="R45" s="262"/>
      <c r="S45" s="115"/>
      <c r="T45" s="115"/>
      <c r="U45" s="115"/>
    </row>
    <row r="46" spans="1:21" ht="4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416"/>
      <c r="L46" s="418"/>
      <c r="M46" s="418"/>
      <c r="N46" s="418"/>
      <c r="O46" s="418"/>
      <c r="P46" s="418"/>
      <c r="Q46" s="432"/>
      <c r="R46" s="262"/>
      <c r="S46" s="115"/>
      <c r="T46" s="115"/>
      <c r="U46" s="115"/>
    </row>
    <row r="47" spans="1:21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416" t="s">
        <v>80</v>
      </c>
      <c r="L47" s="418">
        <f>'II-27'!L47</f>
        <v>1.1618091464643072</v>
      </c>
      <c r="M47" s="418">
        <f>'II-27'!M47</f>
        <v>1.0290123221302407</v>
      </c>
      <c r="N47" s="418">
        <f>'II-27'!N47</f>
        <v>1.010928961748634</v>
      </c>
      <c r="O47" s="418">
        <f>'II-27'!O47</f>
        <v>1.0032660581190855</v>
      </c>
      <c r="P47" s="418">
        <f>'II-27'!P47</f>
        <v>1.001</v>
      </c>
      <c r="Q47" s="432"/>
      <c r="R47" s="262"/>
      <c r="S47" s="115"/>
      <c r="T47" s="115"/>
      <c r="U47" s="115"/>
    </row>
    <row r="48" spans="1:21" ht="4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416"/>
      <c r="L48" s="418"/>
      <c r="M48" s="418"/>
      <c r="N48" s="418"/>
      <c r="O48" s="418"/>
      <c r="P48" s="418"/>
      <c r="Q48" s="432"/>
      <c r="R48" s="262"/>
      <c r="S48" s="115"/>
      <c r="T48" s="115"/>
      <c r="U48" s="115"/>
    </row>
    <row r="49" spans="1:21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416" t="s">
        <v>81</v>
      </c>
      <c r="L49" s="418">
        <f>'II-27'!L49</f>
        <v>1.162</v>
      </c>
      <c r="M49" s="418">
        <f>'II-27'!M49</f>
        <v>1.03</v>
      </c>
      <c r="N49" s="418">
        <f>'II-27'!N49</f>
        <v>1.011</v>
      </c>
      <c r="O49" s="418">
        <f>'II-27'!O49</f>
        <v>1.003</v>
      </c>
      <c r="P49" s="418">
        <f>'II-27'!P49</f>
        <v>1.001</v>
      </c>
      <c r="Q49" s="432">
        <v>1</v>
      </c>
      <c r="R49" s="262"/>
      <c r="S49" s="115"/>
      <c r="T49" s="115"/>
      <c r="U49" s="115"/>
    </row>
    <row r="50" spans="1:21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255"/>
      <c r="L50" s="419"/>
      <c r="M50" s="419"/>
      <c r="N50" s="419"/>
      <c r="O50" s="419"/>
      <c r="P50" s="419"/>
      <c r="Q50" s="434"/>
      <c r="R50" s="262"/>
      <c r="S50" s="115"/>
      <c r="T50" s="115"/>
      <c r="U50" s="115"/>
    </row>
    <row r="51" spans="1:21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358" t="s">
        <v>84</v>
      </c>
      <c r="L51" s="420">
        <f>+L49*M51</f>
        <v>1.2148691919163797</v>
      </c>
      <c r="M51" s="420">
        <f>+M49*N51</f>
        <v>1.0454984439899997</v>
      </c>
      <c r="N51" s="420">
        <f>+N49*O51</f>
        <v>1.0150470329999997</v>
      </c>
      <c r="O51" s="420">
        <f>+O49*P51</f>
        <v>1.0040029999999998</v>
      </c>
      <c r="P51" s="420">
        <f>+P49*Q51</f>
        <v>1.001</v>
      </c>
      <c r="Q51" s="435">
        <f>+Q49</f>
        <v>1</v>
      </c>
      <c r="R51" s="262"/>
      <c r="S51" s="115"/>
      <c r="T51" s="115"/>
      <c r="U51" s="115"/>
    </row>
    <row r="52" spans="1:21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261"/>
      <c r="L52" s="261"/>
      <c r="M52" s="261"/>
      <c r="N52" s="261"/>
      <c r="O52" s="261"/>
      <c r="P52" s="261"/>
      <c r="Q52" s="261"/>
      <c r="R52" s="262"/>
      <c r="S52" s="115"/>
      <c r="T52" s="115"/>
      <c r="U52" s="115"/>
    </row>
    <row r="53" spans="1:21" ht="1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436" t="s">
        <v>141</v>
      </c>
      <c r="L53" s="422"/>
      <c r="M53" s="422"/>
      <c r="N53" s="422"/>
      <c r="O53" s="422"/>
      <c r="P53" s="422"/>
      <c r="Q53" s="437"/>
      <c r="R53" s="262"/>
      <c r="S53" s="115"/>
      <c r="T53" s="115"/>
      <c r="U53" s="115"/>
    </row>
    <row r="54" spans="1:21" ht="1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242" t="s">
        <v>142</v>
      </c>
      <c r="L54" s="438">
        <f aca="true" t="shared" si="0" ref="L54:Q54">1-(1/L51)</f>
        <v>0.176866113114151</v>
      </c>
      <c r="M54" s="438">
        <f t="shared" si="0"/>
        <v>0.04351842343864343</v>
      </c>
      <c r="N54" s="438">
        <f t="shared" si="0"/>
        <v>0.014823976141802753</v>
      </c>
      <c r="O54" s="438">
        <f t="shared" si="0"/>
        <v>0.003987039879362664</v>
      </c>
      <c r="P54" s="438">
        <f t="shared" si="0"/>
        <v>0.0009990009990008542</v>
      </c>
      <c r="Q54" s="439">
        <f t="shared" si="0"/>
        <v>0</v>
      </c>
      <c r="R54" s="262"/>
      <c r="S54" s="115"/>
      <c r="T54" s="115"/>
      <c r="U54" s="115"/>
    </row>
    <row r="55" spans="1:2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6"/>
      <c r="L58" s="197" t="s">
        <v>7</v>
      </c>
      <c r="M58" s="197"/>
      <c r="N58" s="197"/>
      <c r="O58" s="115"/>
      <c r="P58" s="115"/>
      <c r="Q58" s="115"/>
      <c r="R58" s="115"/>
      <c r="S58" s="115"/>
      <c r="T58" s="115"/>
      <c r="U58" s="115"/>
    </row>
    <row r="59" spans="1:2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29" t="s">
        <v>1</v>
      </c>
      <c r="L59" s="161"/>
      <c r="M59" s="161"/>
      <c r="N59" s="161"/>
      <c r="O59" s="115"/>
      <c r="P59" s="115"/>
      <c r="Q59" s="115"/>
      <c r="R59" s="115"/>
      <c r="S59" s="115"/>
      <c r="T59" s="115"/>
      <c r="U59" s="115"/>
    </row>
    <row r="60" spans="1:2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09" t="s">
        <v>4</v>
      </c>
      <c r="L60" s="164" t="s">
        <v>9</v>
      </c>
      <c r="M60" s="164" t="s">
        <v>10</v>
      </c>
      <c r="N60" s="164" t="s">
        <v>11</v>
      </c>
      <c r="O60" s="115"/>
      <c r="P60" s="115"/>
      <c r="Q60" s="115"/>
      <c r="R60" s="115"/>
      <c r="S60" s="115"/>
      <c r="T60" s="115"/>
      <c r="U60" s="115"/>
    </row>
    <row r="61" spans="1:2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23">
        <f>+K62-1</f>
        <v>2005</v>
      </c>
      <c r="L61" s="165">
        <f aca="true" t="shared" si="1" ref="L61:N63">+L6</f>
        <v>1.162</v>
      </c>
      <c r="M61" s="165">
        <f t="shared" si="1"/>
        <v>1.023</v>
      </c>
      <c r="N61" s="165">
        <f t="shared" si="1"/>
        <v>1.009</v>
      </c>
      <c r="O61" s="115"/>
      <c r="P61" s="115"/>
      <c r="Q61" s="115"/>
      <c r="R61" s="115"/>
      <c r="S61" s="115"/>
      <c r="T61" s="115"/>
      <c r="U61" s="115"/>
    </row>
    <row r="62" spans="1:2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29">
        <f>+K63-1</f>
        <v>2006</v>
      </c>
      <c r="L62" s="165">
        <f t="shared" si="1"/>
        <v>1.158</v>
      </c>
      <c r="M62" s="165">
        <f t="shared" si="1"/>
        <v>1.028</v>
      </c>
      <c r="N62" s="165">
        <f t="shared" si="1"/>
        <v>1.011</v>
      </c>
      <c r="O62" s="115"/>
      <c r="P62" s="115"/>
      <c r="Q62" s="115"/>
      <c r="R62" s="115"/>
      <c r="S62" s="115"/>
      <c r="T62" s="115"/>
      <c r="U62" s="115"/>
    </row>
    <row r="63" spans="1:2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29">
        <f>+K64-1</f>
        <v>2007</v>
      </c>
      <c r="L63" s="165">
        <f t="shared" si="1"/>
        <v>1.165</v>
      </c>
      <c r="M63" s="165">
        <f t="shared" si="1"/>
        <v>1.029</v>
      </c>
      <c r="N63" s="165">
        <f t="shared" si="1"/>
        <v>1.012</v>
      </c>
      <c r="O63" s="115"/>
      <c r="P63" s="115"/>
      <c r="Q63" s="115"/>
      <c r="R63" s="115"/>
      <c r="S63" s="115"/>
      <c r="T63" s="115"/>
      <c r="U63" s="115"/>
    </row>
    <row r="64" spans="1:2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29">
        <f>+K65-1</f>
        <v>2008</v>
      </c>
      <c r="L64" s="165">
        <f>+L9</f>
        <v>1.165</v>
      </c>
      <c r="M64" s="165">
        <f>+M9</f>
        <v>1.034</v>
      </c>
      <c r="N64" s="165"/>
      <c r="O64" s="115"/>
      <c r="P64" s="115"/>
      <c r="Q64" s="115"/>
      <c r="R64" s="115"/>
      <c r="S64" s="115"/>
      <c r="T64" s="115"/>
      <c r="U64" s="115"/>
    </row>
    <row r="65" spans="1:2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29">
        <f>+K66-1</f>
        <v>2009</v>
      </c>
      <c r="L65" s="165">
        <f>+L10</f>
        <v>1.159</v>
      </c>
      <c r="M65" s="165"/>
      <c r="N65" s="165"/>
      <c r="O65" s="115"/>
      <c r="P65" s="115"/>
      <c r="Q65" s="115"/>
      <c r="R65" s="115"/>
      <c r="S65" s="115"/>
      <c r="T65" s="115"/>
      <c r="U65" s="115"/>
    </row>
    <row r="66" spans="1:2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09">
        <f>A11</f>
        <v>2010</v>
      </c>
      <c r="L66" s="173"/>
      <c r="M66" s="173"/>
      <c r="N66" s="173"/>
      <c r="O66" s="115"/>
      <c r="P66" s="115"/>
      <c r="Q66" s="115"/>
      <c r="R66" s="115"/>
      <c r="S66" s="115"/>
      <c r="T66" s="115"/>
      <c r="U66" s="115"/>
    </row>
    <row r="67" spans="1:21" ht="4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50"/>
      <c r="L67" s="151"/>
      <c r="M67" s="151"/>
      <c r="N67" s="151"/>
      <c r="O67" s="115"/>
      <c r="P67" s="115"/>
      <c r="Q67" s="115"/>
      <c r="R67" s="115"/>
      <c r="S67" s="115"/>
      <c r="T67" s="115"/>
      <c r="U67" s="115"/>
    </row>
    <row r="68" spans="1:2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50" t="s">
        <v>81</v>
      </c>
      <c r="L68" s="154">
        <f>+L21</f>
        <v>1.162</v>
      </c>
      <c r="M68" s="154">
        <f>+M21</f>
        <v>1.03</v>
      </c>
      <c r="N68" s="154">
        <f>+N21</f>
        <v>1.011</v>
      </c>
      <c r="O68" s="115"/>
      <c r="P68" s="115"/>
      <c r="Q68" s="115"/>
      <c r="R68" s="115"/>
      <c r="S68" s="115"/>
      <c r="T68" s="115"/>
      <c r="U68" s="115"/>
    </row>
    <row r="69" spans="1:21" ht="4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47"/>
      <c r="L69" s="185"/>
      <c r="M69" s="185"/>
      <c r="N69" s="185"/>
      <c r="O69" s="115"/>
      <c r="P69" s="115"/>
      <c r="Q69" s="115"/>
      <c r="R69" s="115"/>
      <c r="S69" s="115"/>
      <c r="T69" s="115"/>
      <c r="U69" s="115"/>
    </row>
    <row r="70" spans="1:2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56" t="s">
        <v>84</v>
      </c>
      <c r="L70" s="187">
        <f>+L23</f>
        <v>1.2148691919163797</v>
      </c>
      <c r="M70" s="187">
        <f>+M23</f>
        <v>1.0454984439899997</v>
      </c>
      <c r="N70" s="187">
        <f>+N23</f>
        <v>1.0150470329999997</v>
      </c>
      <c r="O70" s="115"/>
      <c r="P70" s="115"/>
      <c r="Q70" s="115"/>
      <c r="R70" s="146" t="s">
        <v>139</v>
      </c>
      <c r="S70" s="115"/>
      <c r="T70" s="115"/>
      <c r="U70" s="146" t="s">
        <v>140</v>
      </c>
    </row>
    <row r="71" spans="1:2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51"/>
      <c r="L71" s="154"/>
      <c r="M71" s="154"/>
      <c r="N71" s="154"/>
      <c r="O71" s="115"/>
      <c r="P71" s="115"/>
      <c r="Q71" s="115"/>
      <c r="R71" s="115"/>
      <c r="S71" s="115"/>
      <c r="T71" s="115"/>
      <c r="U71" s="115"/>
    </row>
    <row r="72" spans="1:2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98" t="s">
        <v>141</v>
      </c>
      <c r="L72" s="192"/>
      <c r="M72" s="192"/>
      <c r="N72" s="192"/>
      <c r="O72" s="192"/>
      <c r="P72" s="192"/>
      <c r="Q72" s="192"/>
      <c r="R72" s="115"/>
      <c r="S72" s="154"/>
      <c r="T72" s="154"/>
      <c r="U72" s="115"/>
    </row>
    <row r="73" spans="1:2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51"/>
      <c r="L73" s="115"/>
      <c r="M73" s="115"/>
      <c r="N73" s="115"/>
      <c r="O73" s="115"/>
      <c r="P73" s="115"/>
      <c r="Q73" s="115"/>
      <c r="R73" s="154"/>
      <c r="S73" s="154"/>
      <c r="T73" s="154"/>
      <c r="U73" s="115"/>
    </row>
    <row r="74" spans="1:2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51"/>
      <c r="L74" s="115"/>
      <c r="M74" s="115"/>
      <c r="N74" s="115"/>
      <c r="O74" s="115"/>
      <c r="P74" s="115"/>
      <c r="Q74" s="115"/>
      <c r="R74" s="154"/>
      <c r="S74" s="154"/>
      <c r="T74" s="154"/>
      <c r="U74" s="115"/>
    </row>
    <row r="75" spans="1:2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99" t="s">
        <v>142</v>
      </c>
      <c r="L76" s="200">
        <f>1-(1/L70)</f>
        <v>0.176866113114151</v>
      </c>
      <c r="M76" s="200">
        <f>1-(1/M70)</f>
        <v>0.04351842343864343</v>
      </c>
      <c r="N76" s="200">
        <f>1-(1/N70)</f>
        <v>0.014823976141802753</v>
      </c>
      <c r="O76" s="201"/>
      <c r="P76" s="201"/>
      <c r="Q76" s="201"/>
      <c r="R76" s="115"/>
      <c r="S76" s="115"/>
      <c r="T76" s="115"/>
      <c r="U76" s="115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9.8515625" style="7" customWidth="1"/>
    <col min="3" max="3" width="9.140625" style="7" customWidth="1"/>
    <col min="4" max="4" width="12.28125" style="7" customWidth="1"/>
    <col min="5" max="5" width="10.421875" style="7" customWidth="1"/>
    <col min="6" max="7" width="9.140625" style="7" customWidth="1"/>
    <col min="8" max="8" width="11.00390625" style="7" customWidth="1"/>
    <col min="9" max="9" width="10.140625" style="7" customWidth="1"/>
    <col min="10" max="10" width="9.140625" style="7" customWidth="1"/>
    <col min="11" max="11" width="10.421875" style="7" customWidth="1"/>
    <col min="12" max="16" width="9.140625" style="7" customWidth="1"/>
    <col min="17" max="17" width="10.8515625" style="7" customWidth="1"/>
    <col min="18" max="16384" width="9.140625" style="7" customWidth="1"/>
  </cols>
  <sheetData>
    <row r="1" spans="1:17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6" ht="12.75">
      <c r="A4" s="115"/>
      <c r="B4" s="255"/>
      <c r="C4" s="256"/>
      <c r="D4" s="440" t="s">
        <v>121</v>
      </c>
      <c r="E4" s="256"/>
      <c r="F4" s="256"/>
      <c r="G4" s="256"/>
      <c r="H4" s="256"/>
      <c r="I4" s="257"/>
      <c r="J4" s="115"/>
      <c r="K4" s="115"/>
      <c r="L4" s="115"/>
      <c r="M4" s="115"/>
      <c r="N4" s="115"/>
      <c r="O4" s="115"/>
      <c r="P4" s="115"/>
    </row>
    <row r="5" spans="1:16" ht="12.75">
      <c r="A5" s="115"/>
      <c r="B5" s="441"/>
      <c r="C5" s="442"/>
      <c r="D5" s="442" t="s">
        <v>143</v>
      </c>
      <c r="E5" s="442" t="s">
        <v>121</v>
      </c>
      <c r="F5" s="442"/>
      <c r="G5" s="442"/>
      <c r="H5" s="442" t="s">
        <v>16</v>
      </c>
      <c r="I5" s="443" t="s">
        <v>17</v>
      </c>
      <c r="J5" s="115"/>
      <c r="K5" s="115"/>
      <c r="L5" s="115"/>
      <c r="M5" s="115"/>
      <c r="N5" s="115"/>
      <c r="O5" s="115"/>
      <c r="P5" s="115"/>
    </row>
    <row r="6" spans="1:16" ht="12.75">
      <c r="A6" s="115"/>
      <c r="B6" s="441" t="s">
        <v>1</v>
      </c>
      <c r="C6" s="442" t="s">
        <v>55</v>
      </c>
      <c r="D6" s="442" t="s">
        <v>144</v>
      </c>
      <c r="E6" s="442" t="s">
        <v>88</v>
      </c>
      <c r="F6" s="442" t="s">
        <v>44</v>
      </c>
      <c r="G6" s="442" t="s">
        <v>17</v>
      </c>
      <c r="H6" s="442" t="s">
        <v>37</v>
      </c>
      <c r="I6" s="443" t="s">
        <v>14</v>
      </c>
      <c r="J6" s="115"/>
      <c r="K6" s="115"/>
      <c r="L6" s="115"/>
      <c r="M6" s="115"/>
      <c r="N6" s="115"/>
      <c r="O6" s="115"/>
      <c r="P6" s="115"/>
    </row>
    <row r="7" spans="1:16" ht="12.75">
      <c r="A7" s="115"/>
      <c r="B7" s="441" t="s">
        <v>4</v>
      </c>
      <c r="C7" s="442" t="s">
        <v>57</v>
      </c>
      <c r="D7" s="442" t="s">
        <v>69</v>
      </c>
      <c r="E7" s="442" t="s">
        <v>23</v>
      </c>
      <c r="F7" s="442" t="s">
        <v>145</v>
      </c>
      <c r="G7" s="442" t="s">
        <v>44</v>
      </c>
      <c r="H7" s="442" t="s">
        <v>23</v>
      </c>
      <c r="I7" s="443" t="s">
        <v>23</v>
      </c>
      <c r="J7" s="115"/>
      <c r="K7" s="115"/>
      <c r="L7" s="115"/>
      <c r="M7" s="115"/>
      <c r="N7" s="115"/>
      <c r="O7" s="115"/>
      <c r="P7" s="115"/>
    </row>
    <row r="8" spans="1:16" ht="12.75">
      <c r="A8" s="115"/>
      <c r="B8" s="444">
        <v>1</v>
      </c>
      <c r="C8" s="445">
        <f aca="true" t="shared" si="0" ref="C8:I8">+B8+1</f>
        <v>2</v>
      </c>
      <c r="D8" s="445">
        <f t="shared" si="0"/>
        <v>3</v>
      </c>
      <c r="E8" s="445">
        <f t="shared" si="0"/>
        <v>4</v>
      </c>
      <c r="F8" s="445">
        <f t="shared" si="0"/>
        <v>5</v>
      </c>
      <c r="G8" s="445">
        <f t="shared" si="0"/>
        <v>6</v>
      </c>
      <c r="H8" s="445">
        <f t="shared" si="0"/>
        <v>7</v>
      </c>
      <c r="I8" s="446">
        <f t="shared" si="0"/>
        <v>8</v>
      </c>
      <c r="J8" s="115"/>
      <c r="K8" s="115"/>
      <c r="L8" s="115"/>
      <c r="M8" s="115"/>
      <c r="N8" s="115"/>
      <c r="O8" s="115"/>
      <c r="P8" s="115"/>
    </row>
    <row r="9" spans="1:16" ht="12.75">
      <c r="A9" s="115"/>
      <c r="B9" s="416"/>
      <c r="C9" s="417"/>
      <c r="D9" s="447"/>
      <c r="E9" s="448" t="s">
        <v>146</v>
      </c>
      <c r="F9" s="417"/>
      <c r="G9" s="448" t="s">
        <v>147</v>
      </c>
      <c r="H9" s="417"/>
      <c r="I9" s="449" t="s">
        <v>148</v>
      </c>
      <c r="J9" s="115"/>
      <c r="K9" s="115"/>
      <c r="L9" s="115"/>
      <c r="M9" s="115"/>
      <c r="N9" s="115"/>
      <c r="O9" s="115"/>
      <c r="P9" s="115"/>
    </row>
    <row r="10" spans="1:16" ht="12.75">
      <c r="A10" s="115"/>
      <c r="B10" s="416"/>
      <c r="C10" s="417"/>
      <c r="D10" s="447"/>
      <c r="E10" s="448"/>
      <c r="F10" s="417"/>
      <c r="G10" s="448"/>
      <c r="H10" s="417"/>
      <c r="I10" s="449"/>
      <c r="J10" s="115"/>
      <c r="K10" s="115"/>
      <c r="L10" s="115"/>
      <c r="M10" s="115"/>
      <c r="N10" s="115"/>
      <c r="O10" s="115"/>
      <c r="P10" s="115"/>
    </row>
    <row r="11" spans="1:16" ht="12.75">
      <c r="A11" s="115"/>
      <c r="B11" s="457">
        <f>+B12-1</f>
        <v>2005</v>
      </c>
      <c r="C11" s="252">
        <f>'Reasonableness Checks'!B5</f>
        <v>18168</v>
      </c>
      <c r="D11" s="458">
        <f>'II-21'!D$11</f>
        <v>0.62</v>
      </c>
      <c r="E11" s="450">
        <f aca="true" t="shared" si="1" ref="E11:E16">+C11*D11</f>
        <v>11264.16</v>
      </c>
      <c r="F11" s="418">
        <f>+'II-28'!Q54</f>
        <v>0</v>
      </c>
      <c r="G11" s="252">
        <f aca="true" t="shared" si="2" ref="G11:G16">+E11*F11</f>
        <v>0</v>
      </c>
      <c r="H11" s="252">
        <f>'Sensitivity Analysis'!R15</f>
        <v>11250</v>
      </c>
      <c r="I11" s="451">
        <f aca="true" t="shared" si="3" ref="I11:I16">+H11+G11</f>
        <v>11250</v>
      </c>
      <c r="J11" s="115"/>
      <c r="K11" s="115"/>
      <c r="L11" s="115"/>
      <c r="M11" s="115"/>
      <c r="N11" s="115"/>
      <c r="O11" s="115"/>
      <c r="P11" s="115"/>
    </row>
    <row r="12" spans="1:16" ht="12.75">
      <c r="A12" s="115"/>
      <c r="B12" s="457">
        <f>+B13-1</f>
        <v>2006</v>
      </c>
      <c r="C12" s="252">
        <f>'Reasonableness Checks'!B6</f>
        <v>21995</v>
      </c>
      <c r="D12" s="458">
        <f>'II-21'!D$11</f>
        <v>0.62</v>
      </c>
      <c r="E12" s="450">
        <f t="shared" si="1"/>
        <v>13636.9</v>
      </c>
      <c r="F12" s="418">
        <f>+'II-28'!P54</f>
        <v>0.0009990009990008542</v>
      </c>
      <c r="G12" s="252">
        <f t="shared" si="2"/>
        <v>13.623276723274747</v>
      </c>
      <c r="H12" s="252">
        <f>'Sensitivity Analysis'!Q16</f>
        <v>12725</v>
      </c>
      <c r="I12" s="451">
        <f t="shared" si="3"/>
        <v>12738.623276723274</v>
      </c>
      <c r="J12" s="115"/>
      <c r="K12" s="115"/>
      <c r="L12" s="115"/>
      <c r="M12" s="115"/>
      <c r="N12" s="115"/>
      <c r="O12" s="115"/>
      <c r="P12" s="115"/>
    </row>
    <row r="13" spans="1:16" ht="12.75">
      <c r="A13" s="115"/>
      <c r="B13" s="457">
        <f>+B14-1</f>
        <v>2007</v>
      </c>
      <c r="C13" s="252">
        <f>'Reasonableness Checks'!B7</f>
        <v>24173</v>
      </c>
      <c r="D13" s="458">
        <f>'II-21'!D$11</f>
        <v>0.62</v>
      </c>
      <c r="E13" s="450">
        <f t="shared" si="1"/>
        <v>14987.26</v>
      </c>
      <c r="F13" s="418">
        <f>+'II-28'!O54</f>
        <v>0.003987039879362664</v>
      </c>
      <c r="G13" s="252">
        <f t="shared" si="2"/>
        <v>59.75480330237688</v>
      </c>
      <c r="H13" s="252">
        <f>'Sensitivity Analysis'!P17</f>
        <v>14413</v>
      </c>
      <c r="I13" s="451">
        <f t="shared" si="3"/>
        <v>14472.754803302378</v>
      </c>
      <c r="J13" s="115"/>
      <c r="K13" s="115"/>
      <c r="L13" s="115"/>
      <c r="M13" s="115"/>
      <c r="N13" s="115"/>
      <c r="O13" s="115"/>
      <c r="P13" s="115"/>
    </row>
    <row r="14" spans="1:16" ht="12.75">
      <c r="A14" s="115"/>
      <c r="B14" s="457">
        <f>+B15-1</f>
        <v>2008</v>
      </c>
      <c r="C14" s="252">
        <f>'Reasonableness Checks'!B8</f>
        <v>25534</v>
      </c>
      <c r="D14" s="458">
        <f>'II-21'!D$11</f>
        <v>0.62</v>
      </c>
      <c r="E14" s="450">
        <f t="shared" si="1"/>
        <v>15831.08</v>
      </c>
      <c r="F14" s="418">
        <f>+'II-28'!N54</f>
        <v>0.014823976141802753</v>
      </c>
      <c r="G14" s="252">
        <f t="shared" si="2"/>
        <v>234.6795522189707</v>
      </c>
      <c r="H14" s="252">
        <f>'Sensitivity Analysis'!O18</f>
        <v>16066</v>
      </c>
      <c r="I14" s="451">
        <f t="shared" si="3"/>
        <v>16300.679552218971</v>
      </c>
      <c r="J14" s="115"/>
      <c r="K14" s="115"/>
      <c r="L14" s="115"/>
      <c r="M14" s="115"/>
      <c r="N14" s="115"/>
      <c r="O14" s="115"/>
      <c r="P14" s="115"/>
    </row>
    <row r="15" spans="1:16" ht="12.75">
      <c r="A15" s="115"/>
      <c r="B15" s="457">
        <f>+B16-1</f>
        <v>2009</v>
      </c>
      <c r="C15" s="252">
        <f>'Reasonableness Checks'!B9</f>
        <v>31341</v>
      </c>
      <c r="D15" s="458">
        <f>'II-21'!D$11</f>
        <v>0.62</v>
      </c>
      <c r="E15" s="450">
        <f t="shared" si="1"/>
        <v>19431.42</v>
      </c>
      <c r="F15" s="418">
        <f>+'II-28'!M54</f>
        <v>0.04351842343864343</v>
      </c>
      <c r="G15" s="252">
        <f t="shared" si="2"/>
        <v>845.6247635741246</v>
      </c>
      <c r="H15" s="252">
        <f>'Sensitivity Analysis'!N19</f>
        <v>16776</v>
      </c>
      <c r="I15" s="451">
        <f t="shared" si="3"/>
        <v>17621.624763574124</v>
      </c>
      <c r="J15" s="115"/>
      <c r="K15" s="115"/>
      <c r="L15" s="115"/>
      <c r="M15" s="115"/>
      <c r="N15" s="115"/>
      <c r="O15" s="115"/>
      <c r="P15" s="115"/>
    </row>
    <row r="16" spans="1:16" ht="12.75">
      <c r="A16" s="115"/>
      <c r="B16" s="457">
        <f>latest_year</f>
        <v>2010</v>
      </c>
      <c r="C16" s="252">
        <f>'Reasonableness Checks'!B10</f>
        <v>38469</v>
      </c>
      <c r="D16" s="458">
        <f>'II-21'!D$11</f>
        <v>0.62</v>
      </c>
      <c r="E16" s="450">
        <f t="shared" si="1"/>
        <v>23850.78</v>
      </c>
      <c r="F16" s="418">
        <f>+'II-28'!L54</f>
        <v>0.176866113114151</v>
      </c>
      <c r="G16" s="252">
        <f t="shared" si="2"/>
        <v>4218.394753340731</v>
      </c>
      <c r="H16" s="252">
        <f>'Sensitivity Analysis'!M20</f>
        <v>16561</v>
      </c>
      <c r="I16" s="451">
        <f t="shared" si="3"/>
        <v>20779.39475334073</v>
      </c>
      <c r="J16" s="115"/>
      <c r="K16" s="115"/>
      <c r="L16" s="115"/>
      <c r="M16" s="115"/>
      <c r="N16" s="115"/>
      <c r="O16" s="115"/>
      <c r="P16" s="115"/>
    </row>
    <row r="17" spans="1:16" ht="12.75">
      <c r="A17" s="115"/>
      <c r="B17" s="416"/>
      <c r="C17" s="417"/>
      <c r="D17" s="417"/>
      <c r="E17" s="417"/>
      <c r="F17" s="417"/>
      <c r="G17" s="417"/>
      <c r="H17" s="417"/>
      <c r="I17" s="431"/>
      <c r="J17" s="115"/>
      <c r="K17" s="115"/>
      <c r="L17" s="115"/>
      <c r="M17" s="115"/>
      <c r="N17" s="115"/>
      <c r="O17" s="115"/>
      <c r="P17" s="115"/>
    </row>
    <row r="18" spans="1:16" ht="12.75">
      <c r="A18" s="115"/>
      <c r="B18" s="358" t="s">
        <v>3</v>
      </c>
      <c r="C18" s="259">
        <f>SUM(C11:C17)</f>
        <v>159680</v>
      </c>
      <c r="D18" s="359"/>
      <c r="E18" s="452">
        <f>SUM(E11:E17)</f>
        <v>99001.6</v>
      </c>
      <c r="F18" s="359"/>
      <c r="G18" s="259">
        <f>SUM(G11:G17)</f>
        <v>5372.077149159478</v>
      </c>
      <c r="H18" s="259">
        <f>SUM(H11:H17)</f>
        <v>87791</v>
      </c>
      <c r="I18" s="260">
        <f>SUM(I11:I17)</f>
        <v>93163.07714915948</v>
      </c>
      <c r="J18" s="115"/>
      <c r="K18" s="115"/>
      <c r="L18" s="115"/>
      <c r="M18" s="115"/>
      <c r="N18" s="115"/>
      <c r="O18" s="115"/>
      <c r="P18" s="11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Q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" customWidth="1"/>
    <col min="2" max="2" width="25.7109375" style="10" customWidth="1"/>
    <col min="3" max="3" width="11.7109375" style="10" customWidth="1"/>
    <col min="4" max="4" width="6.28125" style="10" customWidth="1"/>
    <col min="5" max="5" width="5.8515625" style="10" customWidth="1"/>
    <col min="6" max="18" width="4.7109375" style="10" customWidth="1"/>
    <col min="19" max="16384" width="9.140625" style="10" customWidth="1"/>
  </cols>
  <sheetData>
    <row r="4" spans="3:5" ht="12.75">
      <c r="C4" s="459" t="s">
        <v>86</v>
      </c>
      <c r="D4" s="459" t="s">
        <v>44</v>
      </c>
      <c r="E4" s="459" t="s">
        <v>3</v>
      </c>
    </row>
    <row r="5" ht="12.75">
      <c r="A5" s="10" t="s">
        <v>87</v>
      </c>
    </row>
    <row r="6" spans="2:5" ht="12.75">
      <c r="B6" s="10" t="s">
        <v>90</v>
      </c>
      <c r="C6" s="10">
        <v>6</v>
      </c>
      <c r="D6" s="10">
        <v>10</v>
      </c>
      <c r="E6" s="10">
        <f>+D6+C6</f>
        <v>16</v>
      </c>
    </row>
    <row r="7" spans="2:5" ht="12.75">
      <c r="B7" s="10" t="s">
        <v>94</v>
      </c>
      <c r="C7" s="10">
        <v>6</v>
      </c>
      <c r="D7" s="10">
        <v>10</v>
      </c>
      <c r="E7" s="10">
        <f>+D7+C7</f>
        <v>16</v>
      </c>
    </row>
    <row r="8" spans="2:5" ht="12.75">
      <c r="B8" s="10" t="s">
        <v>73</v>
      </c>
      <c r="C8" s="10">
        <v>6</v>
      </c>
      <c r="D8" s="10">
        <v>10</v>
      </c>
      <c r="E8" s="10">
        <f>+D8+C8</f>
        <v>16</v>
      </c>
    </row>
    <row r="9" ht="12.75"/>
    <row r="10" spans="1:2" ht="12.75">
      <c r="A10" s="10" t="s">
        <v>96</v>
      </c>
    </row>
    <row r="11" spans="2:5" ht="12.75">
      <c r="B11" s="10" t="s">
        <v>90</v>
      </c>
      <c r="C11" s="10">
        <v>12</v>
      </c>
      <c r="D11" s="10">
        <v>4</v>
      </c>
      <c r="E11" s="10">
        <f>+D11+C11</f>
        <v>16</v>
      </c>
    </row>
    <row r="12" spans="2:5" ht="12.75">
      <c r="B12" s="10" t="s">
        <v>94</v>
      </c>
      <c r="C12" s="10">
        <v>12</v>
      </c>
      <c r="D12" s="10">
        <v>10</v>
      </c>
      <c r="E12" s="10">
        <f>+D12+C12</f>
        <v>22</v>
      </c>
    </row>
    <row r="13" spans="2:5" ht="12.75">
      <c r="B13" s="10" t="s">
        <v>73</v>
      </c>
      <c r="C13" s="10">
        <v>12</v>
      </c>
      <c r="D13" s="10">
        <v>20</v>
      </c>
      <c r="E13" s="10">
        <f>+D13+C13</f>
        <v>32</v>
      </c>
    </row>
    <row r="14" ht="12.75"/>
    <row r="15" spans="1:2" ht="12.75">
      <c r="A15" s="10" t="s">
        <v>99</v>
      </c>
    </row>
    <row r="16" spans="2:5" ht="12.75">
      <c r="B16" s="10" t="s">
        <v>90</v>
      </c>
      <c r="C16" s="10">
        <v>3</v>
      </c>
      <c r="D16" s="10">
        <v>13</v>
      </c>
      <c r="E16" s="10">
        <f>+D16+C16</f>
        <v>16</v>
      </c>
    </row>
    <row r="17" spans="2:5" ht="12.75">
      <c r="B17" s="10" t="s">
        <v>94</v>
      </c>
      <c r="C17" s="10">
        <v>3</v>
      </c>
      <c r="D17" s="10">
        <v>10</v>
      </c>
      <c r="E17" s="10">
        <f>+D17+C17</f>
        <v>13</v>
      </c>
    </row>
    <row r="18" spans="2:5" ht="12.75">
      <c r="B18" s="10" t="s">
        <v>73</v>
      </c>
      <c r="C18" s="10">
        <v>3</v>
      </c>
      <c r="D18" s="10">
        <v>5</v>
      </c>
      <c r="E18" s="10">
        <f>+D18+C18</f>
        <v>8</v>
      </c>
    </row>
    <row r="23" ht="13.5" thickBot="1"/>
    <row r="24" spans="1:3" ht="13.5" thickTop="1">
      <c r="A24" s="31"/>
      <c r="B24" s="31"/>
      <c r="C24" s="32"/>
    </row>
    <row r="25" spans="1:3" ht="13.5" thickBot="1">
      <c r="A25" s="34"/>
      <c r="B25" s="34"/>
      <c r="C25" s="35"/>
    </row>
    <row r="26" spans="1:3" ht="13.5" thickTop="1">
      <c r="A26" s="29"/>
      <c r="B26" s="29"/>
      <c r="C26" s="29"/>
    </row>
    <row r="27" ht="13.5" thickBot="1"/>
    <row r="28" spans="1:13" ht="13.5" thickTop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3.5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7" ht="13.5" thickTop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125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7109375" style="41" customWidth="1"/>
    <col min="2" max="8" width="11.421875" style="41" customWidth="1"/>
    <col min="9" max="38" width="9.140625" style="41" customWidth="1"/>
    <col min="39" max="39" width="22.28125" style="41" bestFit="1" customWidth="1"/>
    <col min="40" max="48" width="9.140625" style="41" customWidth="1"/>
    <col min="49" max="49" width="11.7109375" style="41" customWidth="1"/>
    <col min="50" max="50" width="9.421875" style="41" customWidth="1"/>
    <col min="51" max="51" width="11.7109375" style="41" customWidth="1"/>
    <col min="52" max="52" width="12.57421875" style="41" bestFit="1" customWidth="1"/>
    <col min="53" max="53" width="12.57421875" style="41" customWidth="1"/>
    <col min="54" max="54" width="10.7109375" style="41" customWidth="1"/>
    <col min="55" max="55" width="14.00390625" style="41" customWidth="1"/>
    <col min="56" max="56" width="11.421875" style="41" bestFit="1" customWidth="1"/>
    <col min="57" max="16384" width="9.140625" style="41" customWidth="1"/>
  </cols>
  <sheetData>
    <row r="1" spans="1:49" ht="12.75">
      <c r="A1" s="41" t="s">
        <v>225</v>
      </c>
      <c r="K1" s="41" t="s">
        <v>226</v>
      </c>
      <c r="S1" s="41" t="s">
        <v>227</v>
      </c>
      <c r="AC1" s="41" t="s">
        <v>228</v>
      </c>
      <c r="AM1" s="41" t="s">
        <v>229</v>
      </c>
      <c r="AW1" s="41" t="s">
        <v>230</v>
      </c>
    </row>
    <row r="3" spans="1:56" ht="15.75">
      <c r="A3" s="38" t="s">
        <v>156</v>
      </c>
      <c r="B3" s="39"/>
      <c r="C3" s="39"/>
      <c r="D3" s="39"/>
      <c r="E3" s="39"/>
      <c r="F3" s="39"/>
      <c r="G3" s="39"/>
      <c r="H3" s="39"/>
      <c r="I3"/>
      <c r="K3" s="52" t="s">
        <v>176</v>
      </c>
      <c r="L3" s="53"/>
      <c r="M3" s="53"/>
      <c r="N3" s="53"/>
      <c r="O3" s="39"/>
      <c r="P3" s="39"/>
      <c r="S3" s="62" t="s">
        <v>181</v>
      </c>
      <c r="T3" s="63"/>
      <c r="U3" s="63"/>
      <c r="V3" s="63"/>
      <c r="W3" s="63"/>
      <c r="X3" s="39"/>
      <c r="Y3" s="39"/>
      <c r="Z3" s="39"/>
      <c r="AC3" s="62" t="s">
        <v>181</v>
      </c>
      <c r="AD3" s="63"/>
      <c r="AE3" s="63"/>
      <c r="AF3" s="63"/>
      <c r="AG3" s="63"/>
      <c r="AH3" s="39"/>
      <c r="AI3" s="39"/>
      <c r="AJ3" s="39"/>
      <c r="AM3" s="70" t="s">
        <v>189</v>
      </c>
      <c r="AN3" s="71"/>
      <c r="AO3" s="71"/>
      <c r="AP3" s="71"/>
      <c r="AQ3" s="71"/>
      <c r="AR3" s="72"/>
      <c r="AS3" s="72"/>
      <c r="AT3" s="72"/>
      <c r="AW3" s="62" t="s">
        <v>201</v>
      </c>
      <c r="AX3" s="63"/>
      <c r="AY3" s="63"/>
      <c r="AZ3" s="63"/>
      <c r="BA3" s="63"/>
      <c r="BB3" s="63"/>
      <c r="BC3" s="63"/>
      <c r="BD3" s="63"/>
    </row>
    <row r="4" spans="1:56" ht="15.75">
      <c r="A4" s="38" t="s">
        <v>157</v>
      </c>
      <c r="B4" s="39"/>
      <c r="C4" s="39"/>
      <c r="D4" s="39"/>
      <c r="E4" s="39"/>
      <c r="F4" s="39"/>
      <c r="G4" s="39"/>
      <c r="H4" s="39"/>
      <c r="I4"/>
      <c r="K4" s="45"/>
      <c r="L4" s="45"/>
      <c r="M4" s="45"/>
      <c r="N4" s="45"/>
      <c r="O4" s="45"/>
      <c r="P4" s="45"/>
      <c r="S4" s="64" t="s">
        <v>177</v>
      </c>
      <c r="T4" s="65"/>
      <c r="U4" s="39"/>
      <c r="V4" s="39"/>
      <c r="W4" s="39"/>
      <c r="X4" s="39"/>
      <c r="Y4" s="39"/>
      <c r="Z4" s="39"/>
      <c r="AC4" s="45"/>
      <c r="AD4" s="45"/>
      <c r="AE4" s="45"/>
      <c r="AF4" s="45"/>
      <c r="AG4" s="45"/>
      <c r="AH4" s="45"/>
      <c r="AI4" s="45"/>
      <c r="AJ4" s="45"/>
      <c r="AM4" s="73" t="s">
        <v>190</v>
      </c>
      <c r="AN4" s="72"/>
      <c r="AO4" s="72"/>
      <c r="AP4" s="72"/>
      <c r="AQ4" s="72"/>
      <c r="AR4" s="72"/>
      <c r="AS4" s="72"/>
      <c r="AT4" s="72"/>
      <c r="AW4" s="52" t="s">
        <v>202</v>
      </c>
      <c r="AX4" s="53"/>
      <c r="AY4" s="53"/>
      <c r="AZ4" s="53"/>
      <c r="BA4" s="39"/>
      <c r="BB4" s="39"/>
      <c r="BC4" s="39"/>
      <c r="BD4" s="39"/>
    </row>
    <row r="5" spans="1:56" ht="15.75">
      <c r="A5" s="42" t="s">
        <v>1</v>
      </c>
      <c r="B5" s="43" t="s">
        <v>158</v>
      </c>
      <c r="C5" s="43" t="s">
        <v>158</v>
      </c>
      <c r="D5" s="44" t="s">
        <v>159</v>
      </c>
      <c r="E5" s="45"/>
      <c r="F5" s="45"/>
      <c r="G5" s="43"/>
      <c r="H5" s="43" t="s">
        <v>158</v>
      </c>
      <c r="I5"/>
      <c r="K5" s="38" t="s">
        <v>157</v>
      </c>
      <c r="L5" s="39"/>
      <c r="M5" s="39"/>
      <c r="N5" s="39"/>
      <c r="O5" s="39"/>
      <c r="P5" s="39"/>
      <c r="S5" s="64" t="s">
        <v>157</v>
      </c>
      <c r="T5" s="65"/>
      <c r="U5" s="65"/>
      <c r="V5" s="65"/>
      <c r="W5" s="65"/>
      <c r="X5" s="65"/>
      <c r="Y5" s="65"/>
      <c r="Z5" s="65"/>
      <c r="AC5" s="64" t="s">
        <v>157</v>
      </c>
      <c r="AD5" s="65"/>
      <c r="AE5" s="65"/>
      <c r="AF5" s="65"/>
      <c r="AG5" s="65"/>
      <c r="AH5" s="65"/>
      <c r="AI5" s="65"/>
      <c r="AJ5" s="65"/>
      <c r="AM5" s="74"/>
      <c r="AN5" s="74"/>
      <c r="AO5" s="74"/>
      <c r="AP5" s="74"/>
      <c r="AQ5" s="74"/>
      <c r="AR5" s="74"/>
      <c r="AS5" s="74"/>
      <c r="AT5" s="74"/>
      <c r="AW5" s="38"/>
      <c r="AX5" s="39"/>
      <c r="AY5" s="39"/>
      <c r="AZ5" s="39"/>
      <c r="BA5" s="39"/>
      <c r="BB5" s="39"/>
      <c r="BC5" s="39"/>
      <c r="BD5" s="39"/>
    </row>
    <row r="6" spans="1:56" ht="15.75">
      <c r="A6" s="42" t="s">
        <v>4</v>
      </c>
      <c r="B6" s="46" t="s">
        <v>160</v>
      </c>
      <c r="C6" s="46" t="s">
        <v>161</v>
      </c>
      <c r="D6" s="46" t="s">
        <v>162</v>
      </c>
      <c r="E6" s="46" t="s">
        <v>163</v>
      </c>
      <c r="F6" s="46" t="s">
        <v>164</v>
      </c>
      <c r="G6" s="46" t="s">
        <v>165</v>
      </c>
      <c r="H6" s="46" t="s">
        <v>166</v>
      </c>
      <c r="I6"/>
      <c r="K6" s="38" t="s">
        <v>177</v>
      </c>
      <c r="L6" s="39"/>
      <c r="M6" s="39"/>
      <c r="N6" s="39"/>
      <c r="O6" s="39"/>
      <c r="P6" s="39"/>
      <c r="S6" s="42" t="s">
        <v>1</v>
      </c>
      <c r="T6" s="43" t="s">
        <v>158</v>
      </c>
      <c r="U6" s="43" t="s">
        <v>158</v>
      </c>
      <c r="V6" s="44" t="s">
        <v>182</v>
      </c>
      <c r="W6" s="45"/>
      <c r="X6" s="45"/>
      <c r="Y6" s="43" t="s">
        <v>158</v>
      </c>
      <c r="Z6" s="43" t="s">
        <v>158</v>
      </c>
      <c r="AC6" s="45"/>
      <c r="AD6" s="45"/>
      <c r="AE6" s="45"/>
      <c r="AF6" s="45"/>
      <c r="AG6" s="45"/>
      <c r="AH6" s="45"/>
      <c r="AI6" s="45"/>
      <c r="AJ6" s="45"/>
      <c r="AM6" s="75" t="s">
        <v>1</v>
      </c>
      <c r="AN6" s="76" t="s">
        <v>158</v>
      </c>
      <c r="AO6" s="76" t="s">
        <v>158</v>
      </c>
      <c r="AP6" s="77" t="s">
        <v>191</v>
      </c>
      <c r="AQ6" s="74"/>
      <c r="AR6" s="74"/>
      <c r="AS6" s="74"/>
      <c r="AT6" s="76" t="s">
        <v>158</v>
      </c>
      <c r="AW6" s="45"/>
      <c r="AX6" s="45"/>
      <c r="AY6" s="45"/>
      <c r="AZ6" s="42" t="s">
        <v>203</v>
      </c>
      <c r="BA6" s="45"/>
      <c r="BB6" s="45"/>
      <c r="BC6" s="42" t="s">
        <v>18</v>
      </c>
      <c r="BD6" s="42" t="s">
        <v>204</v>
      </c>
    </row>
    <row r="7" spans="1:56" ht="15.75">
      <c r="A7" s="42">
        <f aca="true" t="shared" si="0" ref="A7:A12">+A8-1</f>
        <v>2004</v>
      </c>
      <c r="B7" s="47">
        <v>71</v>
      </c>
      <c r="C7" s="47">
        <v>166</v>
      </c>
      <c r="D7" s="47">
        <v>286</v>
      </c>
      <c r="E7" s="47">
        <v>416</v>
      </c>
      <c r="F7" s="47">
        <v>527</v>
      </c>
      <c r="G7" s="47">
        <v>611</v>
      </c>
      <c r="H7" s="47">
        <v>677</v>
      </c>
      <c r="I7"/>
      <c r="K7" s="45"/>
      <c r="L7" s="45"/>
      <c r="M7" s="45"/>
      <c r="N7" s="45"/>
      <c r="O7" s="45"/>
      <c r="P7" s="45"/>
      <c r="S7" s="42" t="s">
        <v>4</v>
      </c>
      <c r="T7" s="46" t="s">
        <v>160</v>
      </c>
      <c r="U7" s="46" t="s">
        <v>161</v>
      </c>
      <c r="V7" s="46" t="s">
        <v>162</v>
      </c>
      <c r="W7" s="46" t="s">
        <v>163</v>
      </c>
      <c r="X7" s="46" t="s">
        <v>164</v>
      </c>
      <c r="Y7" s="46" t="s">
        <v>165</v>
      </c>
      <c r="Z7" s="46" t="s">
        <v>166</v>
      </c>
      <c r="AC7" s="42" t="s">
        <v>1</v>
      </c>
      <c r="AD7" s="69" t="s">
        <v>244</v>
      </c>
      <c r="AE7" s="45"/>
      <c r="AF7" s="45"/>
      <c r="AG7" s="45"/>
      <c r="AH7" s="45"/>
      <c r="AI7" s="45"/>
      <c r="AJ7" s="43" t="s">
        <v>158</v>
      </c>
      <c r="AM7" s="75" t="s">
        <v>4</v>
      </c>
      <c r="AN7" s="78" t="s">
        <v>9</v>
      </c>
      <c r="AO7" s="78" t="s">
        <v>10</v>
      </c>
      <c r="AP7" s="78" t="s">
        <v>11</v>
      </c>
      <c r="AQ7" s="78" t="s">
        <v>12</v>
      </c>
      <c r="AR7" s="78" t="s">
        <v>13</v>
      </c>
      <c r="AS7" s="78" t="s">
        <v>168</v>
      </c>
      <c r="AT7" s="78" t="s">
        <v>169</v>
      </c>
      <c r="AW7" s="42" t="s">
        <v>1</v>
      </c>
      <c r="AX7" s="42" t="s">
        <v>69</v>
      </c>
      <c r="AY7" s="42" t="s">
        <v>205</v>
      </c>
      <c r="AZ7" s="42" t="s">
        <v>206</v>
      </c>
      <c r="BA7" s="42" t="s">
        <v>14</v>
      </c>
      <c r="BB7" s="42" t="s">
        <v>14</v>
      </c>
      <c r="BC7" s="42" t="s">
        <v>180</v>
      </c>
      <c r="BD7" s="42" t="s">
        <v>180</v>
      </c>
    </row>
    <row r="8" spans="1:56" ht="15.75">
      <c r="A8" s="42">
        <f t="shared" si="0"/>
        <v>2005</v>
      </c>
      <c r="B8" s="47">
        <v>83</v>
      </c>
      <c r="C8" s="47">
        <v>189</v>
      </c>
      <c r="D8" s="47">
        <v>313</v>
      </c>
      <c r="E8" s="47">
        <v>458</v>
      </c>
      <c r="F8" s="47">
        <v>584</v>
      </c>
      <c r="G8" s="47">
        <v>672</v>
      </c>
      <c r="H8" s="48"/>
      <c r="I8"/>
      <c r="K8" s="42" t="s">
        <v>1</v>
      </c>
      <c r="L8" s="45"/>
      <c r="M8" s="54" t="s">
        <v>178</v>
      </c>
      <c r="N8" s="54" t="s">
        <v>19</v>
      </c>
      <c r="O8" s="54" t="s">
        <v>17</v>
      </c>
      <c r="P8" s="54" t="s">
        <v>66</v>
      </c>
      <c r="S8" s="42">
        <f aca="true" t="shared" si="1" ref="S8:S13">+S9-1</f>
        <v>2004</v>
      </c>
      <c r="T8" s="66">
        <v>71</v>
      </c>
      <c r="U8" s="66" t="s">
        <v>183</v>
      </c>
      <c r="V8" s="66" t="s">
        <v>184</v>
      </c>
      <c r="W8" s="66" t="s">
        <v>185</v>
      </c>
      <c r="X8" s="66" t="s">
        <v>186</v>
      </c>
      <c r="Y8" s="66" t="s">
        <v>187</v>
      </c>
      <c r="Z8" s="66">
        <v>677</v>
      </c>
      <c r="AC8" s="42" t="s">
        <v>4</v>
      </c>
      <c r="AD8" s="46" t="s">
        <v>160</v>
      </c>
      <c r="AE8" s="46" t="s">
        <v>161</v>
      </c>
      <c r="AF8" s="46" t="s">
        <v>162</v>
      </c>
      <c r="AG8" s="46" t="s">
        <v>163</v>
      </c>
      <c r="AH8" s="46" t="s">
        <v>164</v>
      </c>
      <c r="AI8" s="46" t="s">
        <v>165</v>
      </c>
      <c r="AJ8" s="46" t="s">
        <v>166</v>
      </c>
      <c r="AM8" s="75">
        <f>+AM9-1</f>
        <v>2004</v>
      </c>
      <c r="AN8" s="79">
        <f aca="true" t="shared" si="2" ref="AN8:AS8">AE10/AD10</f>
        <v>1.3116529253974858</v>
      </c>
      <c r="AO8" s="79">
        <f t="shared" si="2"/>
        <v>1.406054130703443</v>
      </c>
      <c r="AP8" s="79">
        <f t="shared" si="2"/>
        <v>1.29287058745831</v>
      </c>
      <c r="AQ8" s="79">
        <f t="shared" si="2"/>
        <v>1.1734772944921834</v>
      </c>
      <c r="AR8" s="79">
        <f t="shared" si="2"/>
        <v>1.0987612787050305</v>
      </c>
      <c r="AS8" s="79">
        <f t="shared" si="2"/>
        <v>1.068167719285182</v>
      </c>
      <c r="AT8" s="74"/>
      <c r="AW8" s="46" t="s">
        <v>4</v>
      </c>
      <c r="AX8" s="46" t="s">
        <v>179</v>
      </c>
      <c r="AY8" s="46" t="s">
        <v>145</v>
      </c>
      <c r="AZ8" s="46" t="s">
        <v>69</v>
      </c>
      <c r="BA8" s="46" t="s">
        <v>23</v>
      </c>
      <c r="BB8" s="46" t="s">
        <v>180</v>
      </c>
      <c r="BC8" s="46" t="s">
        <v>179</v>
      </c>
      <c r="BD8" s="46" t="s">
        <v>24</v>
      </c>
    </row>
    <row r="9" spans="1:56" ht="15.75">
      <c r="A9" s="42">
        <f t="shared" si="0"/>
        <v>2006</v>
      </c>
      <c r="B9" s="47">
        <v>93</v>
      </c>
      <c r="C9" s="47">
        <v>213</v>
      </c>
      <c r="D9" s="47">
        <v>361</v>
      </c>
      <c r="E9" s="47">
        <v>523</v>
      </c>
      <c r="F9" s="47">
        <v>657</v>
      </c>
      <c r="G9" s="48"/>
      <c r="H9" s="48"/>
      <c r="I9"/>
      <c r="K9" s="46" t="s">
        <v>4</v>
      </c>
      <c r="L9" s="55"/>
      <c r="M9" s="56" t="s">
        <v>179</v>
      </c>
      <c r="N9" s="56" t="s">
        <v>145</v>
      </c>
      <c r="O9" s="56" t="s">
        <v>14</v>
      </c>
      <c r="P9" s="56" t="s">
        <v>180</v>
      </c>
      <c r="S9" s="42">
        <f t="shared" si="1"/>
        <v>2005</v>
      </c>
      <c r="T9" s="66">
        <v>83</v>
      </c>
      <c r="U9" s="66">
        <v>189</v>
      </c>
      <c r="V9" s="66">
        <v>313</v>
      </c>
      <c r="W9" s="66">
        <v>458</v>
      </c>
      <c r="X9" s="66">
        <v>584</v>
      </c>
      <c r="Y9" s="66">
        <v>672</v>
      </c>
      <c r="Z9" s="67"/>
      <c r="AC9" s="45"/>
      <c r="AD9" s="45"/>
      <c r="AE9" s="45"/>
      <c r="AF9" s="45"/>
      <c r="AG9" s="45"/>
      <c r="AH9" s="45"/>
      <c r="AI9" s="45"/>
      <c r="AJ9" s="45"/>
      <c r="AM9" s="75">
        <f>+AM10-1</f>
        <v>2005</v>
      </c>
      <c r="AN9" s="79">
        <f>AE11/AD11</f>
        <v>1.2902817987585178</v>
      </c>
      <c r="AO9" s="79">
        <f>AF11/AE11</f>
        <v>1.3545537936170597</v>
      </c>
      <c r="AP9" s="79">
        <f>AG11/AF11</f>
        <v>1.2965061008307406</v>
      </c>
      <c r="AQ9" s="79">
        <f>AH11/AG11</f>
        <v>1.174912904170546</v>
      </c>
      <c r="AR9" s="79">
        <f>AI11/AH11</f>
        <v>1.0939610264325679</v>
      </c>
      <c r="AS9" s="74"/>
      <c r="AT9" s="74"/>
      <c r="AW9" s="42" t="s">
        <v>25</v>
      </c>
      <c r="AX9" s="42" t="s">
        <v>26</v>
      </c>
      <c r="AY9" s="42" t="s">
        <v>27</v>
      </c>
      <c r="AZ9" s="42" t="s">
        <v>28</v>
      </c>
      <c r="BA9" s="42" t="s">
        <v>29</v>
      </c>
      <c r="BB9" s="42" t="s">
        <v>30</v>
      </c>
      <c r="BC9" s="42" t="s">
        <v>31</v>
      </c>
      <c r="BD9" s="42" t="s">
        <v>62</v>
      </c>
    </row>
    <row r="10" spans="1:56" ht="15.75">
      <c r="A10" s="42">
        <f t="shared" si="0"/>
        <v>2007</v>
      </c>
      <c r="B10" s="47">
        <v>103</v>
      </c>
      <c r="C10" s="47">
        <v>226</v>
      </c>
      <c r="D10" s="47">
        <v>394</v>
      </c>
      <c r="E10" s="47">
        <v>581</v>
      </c>
      <c r="F10" s="48"/>
      <c r="G10" s="48"/>
      <c r="H10" s="48"/>
      <c r="I10"/>
      <c r="K10" s="42" t="s">
        <v>25</v>
      </c>
      <c r="L10" s="45"/>
      <c r="M10" s="54" t="s">
        <v>26</v>
      </c>
      <c r="N10" s="54" t="s">
        <v>27</v>
      </c>
      <c r="O10" s="54" t="s">
        <v>28</v>
      </c>
      <c r="P10" s="54" t="s">
        <v>29</v>
      </c>
      <c r="S10" s="42">
        <f t="shared" si="1"/>
        <v>2006</v>
      </c>
      <c r="T10" s="66">
        <v>93</v>
      </c>
      <c r="U10" s="66">
        <v>213</v>
      </c>
      <c r="V10" s="66">
        <v>361</v>
      </c>
      <c r="W10" s="66">
        <v>523</v>
      </c>
      <c r="X10" s="66">
        <v>657</v>
      </c>
      <c r="Y10" s="67"/>
      <c r="Z10" s="67"/>
      <c r="AC10" s="42">
        <f aca="true" t="shared" si="3" ref="AC10:AC15">+AC11-1</f>
        <v>2004</v>
      </c>
      <c r="AD10" s="50">
        <f aca="true" t="shared" si="4" ref="AD10:AJ10">T8/T18</f>
        <v>0.021124665278191016</v>
      </c>
      <c r="AE10" s="50">
        <f t="shared" si="4"/>
        <v>0.02770822901018194</v>
      </c>
      <c r="AF10" s="50">
        <f t="shared" si="4"/>
        <v>0.03895926985424329</v>
      </c>
      <c r="AG10" s="50">
        <f t="shared" si="4"/>
        <v>0.05036929410340235</v>
      </c>
      <c r="AH10" s="50">
        <f t="shared" si="4"/>
        <v>0.059107222969941677</v>
      </c>
      <c r="AI10" s="50">
        <f t="shared" si="4"/>
        <v>0.06494472789115646</v>
      </c>
      <c r="AJ10" s="50">
        <f t="shared" si="4"/>
        <v>0.06937186187109334</v>
      </c>
      <c r="AM10" s="75">
        <f>+AM11-1</f>
        <v>2006</v>
      </c>
      <c r="AN10" s="79">
        <f>AE12/AD12</f>
        <v>1.2792519174747938</v>
      </c>
      <c r="AO10" s="79">
        <f>AF12/AE12</f>
        <v>1.3667795817072614</v>
      </c>
      <c r="AP10" s="79">
        <f>AG12/AF12</f>
        <v>1.273361559245123</v>
      </c>
      <c r="AQ10" s="79">
        <f>AH12/AG12</f>
        <v>1.1585352230145618</v>
      </c>
      <c r="AR10" s="74"/>
      <c r="AS10" s="74"/>
      <c r="AT10" s="74"/>
      <c r="AW10" s="45"/>
      <c r="AX10" s="81" t="s">
        <v>234</v>
      </c>
      <c r="AY10" s="81" t="s">
        <v>237</v>
      </c>
      <c r="AZ10" s="81" t="s">
        <v>146</v>
      </c>
      <c r="BA10" s="81"/>
      <c r="BB10" s="81" t="s">
        <v>147</v>
      </c>
      <c r="BC10" s="81" t="s">
        <v>235</v>
      </c>
      <c r="BD10" s="81" t="s">
        <v>207</v>
      </c>
    </row>
    <row r="11" spans="1:56" ht="15.75">
      <c r="A11" s="42">
        <f t="shared" si="0"/>
        <v>2008</v>
      </c>
      <c r="B11" s="47">
        <v>108</v>
      </c>
      <c r="C11" s="47">
        <v>245</v>
      </c>
      <c r="D11" s="47">
        <v>437</v>
      </c>
      <c r="E11" s="48"/>
      <c r="F11" s="48"/>
      <c r="G11" s="48"/>
      <c r="H11" s="48"/>
      <c r="I11"/>
      <c r="K11" s="45"/>
      <c r="L11" s="45"/>
      <c r="M11" s="57" t="s">
        <v>233</v>
      </c>
      <c r="N11" s="57" t="s">
        <v>233</v>
      </c>
      <c r="O11" s="57" t="s">
        <v>146</v>
      </c>
      <c r="P11" s="57" t="s">
        <v>52</v>
      </c>
      <c r="S11" s="42">
        <f t="shared" si="1"/>
        <v>2007</v>
      </c>
      <c r="T11" s="66">
        <v>103</v>
      </c>
      <c r="U11" s="66">
        <v>226</v>
      </c>
      <c r="V11" s="66">
        <v>394</v>
      </c>
      <c r="W11" s="66">
        <v>581</v>
      </c>
      <c r="X11" s="67"/>
      <c r="Y11" s="67"/>
      <c r="Z11" s="67"/>
      <c r="AC11" s="42">
        <f t="shared" si="3"/>
        <v>2005</v>
      </c>
      <c r="AD11" s="50">
        <f aca="true" t="shared" si="5" ref="AD11:AE15">T9/T19</f>
        <v>0.021957671957671957</v>
      </c>
      <c r="AE11" s="50">
        <f t="shared" si="5"/>
        <v>0.02833158447009444</v>
      </c>
      <c r="AF11" s="50">
        <f aca="true" t="shared" si="6" ref="AF11:AG13">V9/V19</f>
        <v>0.0383766552231486</v>
      </c>
      <c r="AG11" s="50">
        <f>W9/W19</f>
        <v>0.04975556762629006</v>
      </c>
      <c r="AH11" s="50">
        <f>X9/X19</f>
        <v>0.05845845845845846</v>
      </c>
      <c r="AI11" s="50">
        <f>Y9/Y19</f>
        <v>0.06395127521888085</v>
      </c>
      <c r="AJ11" s="50"/>
      <c r="AM11" s="75">
        <f>+AM12-1</f>
        <v>2007</v>
      </c>
      <c r="AN11" s="79">
        <f>AE13/AD13</f>
        <v>1.2131825908660756</v>
      </c>
      <c r="AO11" s="79">
        <f>AF13/AE13</f>
        <v>1.4064956895961518</v>
      </c>
      <c r="AP11" s="79">
        <f>AG13/AF13</f>
        <v>1.300501054100152</v>
      </c>
      <c r="AQ11" s="74"/>
      <c r="AR11" s="74"/>
      <c r="AS11" s="74"/>
      <c r="AT11" s="74"/>
      <c r="AW11" s="45"/>
      <c r="AX11" s="81"/>
      <c r="AY11" s="81"/>
      <c r="AZ11" s="81"/>
      <c r="BA11" s="81"/>
      <c r="BB11" s="81"/>
      <c r="BC11" s="81"/>
      <c r="BD11" s="81"/>
    </row>
    <row r="12" spans="1:56" ht="15.75">
      <c r="A12" s="42">
        <f t="shared" si="0"/>
        <v>2009</v>
      </c>
      <c r="B12" s="47">
        <v>128</v>
      </c>
      <c r="C12" s="47">
        <v>280</v>
      </c>
      <c r="D12" s="48"/>
      <c r="E12" s="48"/>
      <c r="F12" s="48"/>
      <c r="G12" s="48"/>
      <c r="H12" s="48"/>
      <c r="I12"/>
      <c r="K12" s="45"/>
      <c r="L12" s="45"/>
      <c r="M12" s="57"/>
      <c r="N12" s="57"/>
      <c r="O12" s="57"/>
      <c r="P12" s="57"/>
      <c r="S12" s="42">
        <f t="shared" si="1"/>
        <v>2008</v>
      </c>
      <c r="T12" s="66">
        <v>108</v>
      </c>
      <c r="U12" s="66">
        <v>245</v>
      </c>
      <c r="V12" s="66">
        <v>437</v>
      </c>
      <c r="W12" s="67"/>
      <c r="X12" s="67"/>
      <c r="Y12" s="67"/>
      <c r="Z12" s="67"/>
      <c r="AC12" s="42">
        <f t="shared" si="3"/>
        <v>2006</v>
      </c>
      <c r="AD12" s="50">
        <f t="shared" si="5"/>
        <v>0.02207977207977208</v>
      </c>
      <c r="AE12" s="50">
        <f t="shared" si="5"/>
        <v>0.028245590770454847</v>
      </c>
      <c r="AF12" s="50">
        <f t="shared" si="6"/>
        <v>0.03860549673831676</v>
      </c>
      <c r="AG12" s="50">
        <f>W10/W20</f>
        <v>0.04915875552213554</v>
      </c>
      <c r="AH12" s="50">
        <f>X10/X20</f>
        <v>0.05695214979195562</v>
      </c>
      <c r="AI12" s="50"/>
      <c r="AJ12" s="50"/>
      <c r="AM12" s="75">
        <f>+AM13-1</f>
        <v>2008</v>
      </c>
      <c r="AN12" s="79">
        <f>AE14/AD14</f>
        <v>1.2610735979454328</v>
      </c>
      <c r="AO12" s="79">
        <f>AF14/AE14</f>
        <v>1.4422205830123216</v>
      </c>
      <c r="AP12" s="74"/>
      <c r="AQ12" s="74"/>
      <c r="AR12" s="74"/>
      <c r="AS12" s="74"/>
      <c r="AT12" s="74"/>
      <c r="AW12" s="42">
        <f aca="true" t="shared" si="7" ref="AW12:AW17">+AW13-1</f>
        <v>2004</v>
      </c>
      <c r="AX12" s="50">
        <f>AJ10</f>
        <v>0.06937186187109334</v>
      </c>
      <c r="AY12" s="50" t="str">
        <f>AT20</f>
        <v>1.068</v>
      </c>
      <c r="AZ12" s="50">
        <f aca="true" t="shared" si="8" ref="AZ12:AZ18">ROUND(AX12*AY12,3)</f>
        <v>0.074</v>
      </c>
      <c r="BA12" s="58">
        <v>10292</v>
      </c>
      <c r="BB12" s="58">
        <f aca="true" t="shared" si="9" ref="BB12:BB18">AZ12*BA12</f>
        <v>761.608</v>
      </c>
      <c r="BC12" s="58">
        <f>Z8</f>
        <v>677</v>
      </c>
      <c r="BD12" s="58">
        <f aca="true" t="shared" si="10" ref="BD12:BD18">BB12-BC12</f>
        <v>84.60799999999995</v>
      </c>
    </row>
    <row r="13" spans="1:56" ht="15.75">
      <c r="A13" s="42">
        <f>latest_year</f>
        <v>2010</v>
      </c>
      <c r="B13" s="47">
        <v>132</v>
      </c>
      <c r="C13" s="48"/>
      <c r="D13" s="48"/>
      <c r="E13" s="48"/>
      <c r="F13" s="48"/>
      <c r="G13" s="48"/>
      <c r="H13" s="48"/>
      <c r="I13"/>
      <c r="K13" s="42">
        <f aca="true" t="shared" si="11" ref="K13:K18">+K14-1</f>
        <v>2004</v>
      </c>
      <c r="L13" s="45"/>
      <c r="M13" s="58">
        <f>H7</f>
        <v>677</v>
      </c>
      <c r="N13" s="59" t="str">
        <f>H30</f>
        <v>1.108</v>
      </c>
      <c r="O13" s="58">
        <f aca="true" t="shared" si="12" ref="O13:O19">M13*N13</f>
        <v>750.1160000000001</v>
      </c>
      <c r="P13" s="58">
        <f aca="true" t="shared" si="13" ref="P13:P19">O13-M13</f>
        <v>73.1160000000001</v>
      </c>
      <c r="S13" s="42">
        <f t="shared" si="1"/>
        <v>2009</v>
      </c>
      <c r="T13" s="66">
        <v>128</v>
      </c>
      <c r="U13" s="66">
        <v>280</v>
      </c>
      <c r="V13" s="67"/>
      <c r="W13" s="67"/>
      <c r="X13" s="67"/>
      <c r="Y13" s="67"/>
      <c r="Z13" s="67"/>
      <c r="AC13" s="42">
        <f t="shared" si="3"/>
        <v>2007</v>
      </c>
      <c r="AD13" s="50">
        <f t="shared" si="5"/>
        <v>0.021016119159355234</v>
      </c>
      <c r="AE13" s="50">
        <f t="shared" si="5"/>
        <v>0.025496389891696752</v>
      </c>
      <c r="AF13" s="50">
        <f t="shared" si="6"/>
        <v>0.03586056248293438</v>
      </c>
      <c r="AG13" s="50">
        <f t="shared" si="6"/>
        <v>0.04663669930968053</v>
      </c>
      <c r="AH13" s="50"/>
      <c r="AI13" s="50"/>
      <c r="AJ13" s="50"/>
      <c r="AM13" s="75">
        <f>K18</f>
        <v>2009</v>
      </c>
      <c r="AN13" s="79">
        <f>AE15/AD15</f>
        <v>1.1930216165413534</v>
      </c>
      <c r="AO13" s="74"/>
      <c r="AP13" s="74"/>
      <c r="AQ13" s="74"/>
      <c r="AR13" s="74"/>
      <c r="AS13" s="74"/>
      <c r="AT13" s="74"/>
      <c r="AW13" s="42">
        <f t="shared" si="7"/>
        <v>2005</v>
      </c>
      <c r="AX13" s="50">
        <f>AI11</f>
        <v>0.06395127521888085</v>
      </c>
      <c r="AY13" s="50" t="str">
        <f>AS20</f>
        <v>1.141</v>
      </c>
      <c r="AZ13" s="50">
        <f t="shared" si="8"/>
        <v>0.073</v>
      </c>
      <c r="BA13" s="58">
        <v>11261</v>
      </c>
      <c r="BB13" s="58">
        <f t="shared" si="9"/>
        <v>822.053</v>
      </c>
      <c r="BC13" s="58">
        <f>Y9</f>
        <v>672</v>
      </c>
      <c r="BD13" s="58">
        <f t="shared" si="10"/>
        <v>150.053</v>
      </c>
    </row>
    <row r="14" spans="1:56" ht="15.75">
      <c r="A14" s="44"/>
      <c r="B14" s="49"/>
      <c r="C14" s="49"/>
      <c r="D14" s="49"/>
      <c r="E14" s="49"/>
      <c r="F14" s="49"/>
      <c r="G14" s="44"/>
      <c r="H14" s="44"/>
      <c r="I14"/>
      <c r="K14" s="42">
        <f t="shared" si="11"/>
        <v>2005</v>
      </c>
      <c r="L14" s="45"/>
      <c r="M14" s="58">
        <f>G8</f>
        <v>672</v>
      </c>
      <c r="N14" s="59">
        <f>G30</f>
        <v>1.2276857610474632</v>
      </c>
      <c r="O14" s="58">
        <f t="shared" si="12"/>
        <v>825.0048314238952</v>
      </c>
      <c r="P14" s="58">
        <f t="shared" si="13"/>
        <v>153.0048314238952</v>
      </c>
      <c r="S14" s="42">
        <f>A13</f>
        <v>2010</v>
      </c>
      <c r="T14" s="66">
        <v>132</v>
      </c>
      <c r="U14" s="67"/>
      <c r="V14" s="67"/>
      <c r="W14" s="67"/>
      <c r="X14" s="67"/>
      <c r="Y14" s="67"/>
      <c r="Z14" s="67"/>
      <c r="AC14" s="42">
        <f t="shared" si="3"/>
        <v>2008</v>
      </c>
      <c r="AD14" s="50">
        <f t="shared" si="5"/>
        <v>0.0189208128941836</v>
      </c>
      <c r="AE14" s="50">
        <f t="shared" si="5"/>
        <v>0.02386053759252045</v>
      </c>
      <c r="AF14" s="50">
        <f>V12/V22</f>
        <v>0.03441215843767226</v>
      </c>
      <c r="AG14" s="50"/>
      <c r="AH14" s="50"/>
      <c r="AI14" s="50"/>
      <c r="AJ14" s="50"/>
      <c r="AM14" s="74"/>
      <c r="AN14" s="74"/>
      <c r="AO14" s="74"/>
      <c r="AP14" s="74"/>
      <c r="AQ14" s="74"/>
      <c r="AR14" s="74"/>
      <c r="AS14" s="74"/>
      <c r="AT14" s="74"/>
      <c r="AW14" s="42">
        <f t="shared" si="7"/>
        <v>2006</v>
      </c>
      <c r="AX14" s="50">
        <f>AH12</f>
        <v>0.05695214979195562</v>
      </c>
      <c r="AY14" s="50" t="str">
        <f>AR20</f>
        <v>1.251</v>
      </c>
      <c r="AZ14" s="50">
        <f t="shared" si="8"/>
        <v>0.071</v>
      </c>
      <c r="BA14" s="58">
        <v>12751</v>
      </c>
      <c r="BB14" s="58">
        <f t="shared" si="9"/>
        <v>905.3209999999999</v>
      </c>
      <c r="BC14" s="58">
        <f>X10</f>
        <v>657</v>
      </c>
      <c r="BD14" s="58">
        <f t="shared" si="10"/>
        <v>248.3209999999999</v>
      </c>
    </row>
    <row r="15" spans="1:56" ht="15.75">
      <c r="A15" s="42" t="s">
        <v>1</v>
      </c>
      <c r="B15" s="43" t="s">
        <v>158</v>
      </c>
      <c r="C15" s="43" t="s">
        <v>158</v>
      </c>
      <c r="D15" s="44" t="s">
        <v>167</v>
      </c>
      <c r="E15" s="45"/>
      <c r="F15" s="45"/>
      <c r="G15" s="45"/>
      <c r="H15" s="43" t="s">
        <v>158</v>
      </c>
      <c r="I15"/>
      <c r="K15" s="42">
        <f t="shared" si="11"/>
        <v>2006</v>
      </c>
      <c r="L15" s="45"/>
      <c r="M15" s="58">
        <f>F9</f>
        <v>657</v>
      </c>
      <c r="N15" s="59">
        <f>F30</f>
        <v>1.4177505233338392</v>
      </c>
      <c r="O15" s="58">
        <f t="shared" si="12"/>
        <v>931.4620938303324</v>
      </c>
      <c r="P15" s="58">
        <f t="shared" si="13"/>
        <v>274.4620938303324</v>
      </c>
      <c r="S15" s="45"/>
      <c r="T15" s="68"/>
      <c r="U15" s="68"/>
      <c r="V15" s="68"/>
      <c r="W15" s="68"/>
      <c r="X15" s="68"/>
      <c r="Y15" s="68"/>
      <c r="Z15" s="68"/>
      <c r="AC15" s="42">
        <f t="shared" si="3"/>
        <v>2009</v>
      </c>
      <c r="AD15" s="50">
        <f t="shared" si="5"/>
        <v>0.021007713769899884</v>
      </c>
      <c r="AE15" s="50">
        <f t="shared" si="5"/>
        <v>0.02506265664160401</v>
      </c>
      <c r="AF15" s="50"/>
      <c r="AG15" s="50"/>
      <c r="AH15" s="50"/>
      <c r="AI15" s="50"/>
      <c r="AJ15" s="50"/>
      <c r="AM15" s="80" t="s">
        <v>42</v>
      </c>
      <c r="AN15" s="50">
        <f>AVERAGE(AN8:AN13)</f>
        <v>1.2580774078306096</v>
      </c>
      <c r="AO15" s="50">
        <f>AVERAGE(AO8:AO12)</f>
        <v>1.3952207557272476</v>
      </c>
      <c r="AP15" s="50">
        <f>AVERAGE(AP8:AP11)</f>
        <v>1.2908098254085814</v>
      </c>
      <c r="AQ15" s="50">
        <f>AVERAGE(AQ8:AQ10)</f>
        <v>1.1689751405590971</v>
      </c>
      <c r="AR15" s="50">
        <f>AVERAGE(AR8:AR9)</f>
        <v>1.0963611525687993</v>
      </c>
      <c r="AS15" s="50">
        <f>AS8</f>
        <v>1.068167719285182</v>
      </c>
      <c r="AT15" s="74"/>
      <c r="AW15" s="42">
        <f t="shared" si="7"/>
        <v>2007</v>
      </c>
      <c r="AX15" s="50">
        <f>AG13</f>
        <v>0.04663669930968053</v>
      </c>
      <c r="AY15" s="50" t="str">
        <f>AQ20</f>
        <v>1.462</v>
      </c>
      <c r="AZ15" s="50">
        <f t="shared" si="8"/>
        <v>0.068</v>
      </c>
      <c r="BA15" s="58">
        <v>14500</v>
      </c>
      <c r="BB15" s="58">
        <f t="shared" si="9"/>
        <v>986.0000000000001</v>
      </c>
      <c r="BC15" s="58">
        <f>W11</f>
        <v>581</v>
      </c>
      <c r="BD15" s="58">
        <f t="shared" si="10"/>
        <v>405.0000000000001</v>
      </c>
    </row>
    <row r="16" spans="1:56" ht="15.75">
      <c r="A16" s="42" t="s">
        <v>4</v>
      </c>
      <c r="B16" s="46" t="s">
        <v>9</v>
      </c>
      <c r="C16" s="46" t="s">
        <v>10</v>
      </c>
      <c r="D16" s="46" t="s">
        <v>11</v>
      </c>
      <c r="E16" s="46" t="s">
        <v>12</v>
      </c>
      <c r="F16" s="46" t="s">
        <v>13</v>
      </c>
      <c r="G16" s="46" t="s">
        <v>168</v>
      </c>
      <c r="H16" s="46" t="s">
        <v>169</v>
      </c>
      <c r="I16"/>
      <c r="K16" s="42">
        <f t="shared" si="11"/>
        <v>2007</v>
      </c>
      <c r="L16" s="45"/>
      <c r="M16" s="58">
        <f>E10</f>
        <v>581</v>
      </c>
      <c r="N16" s="59">
        <f>E30</f>
        <v>1.794261220654422</v>
      </c>
      <c r="O16" s="58">
        <f t="shared" si="12"/>
        <v>1042.4657692002193</v>
      </c>
      <c r="P16" s="58">
        <f t="shared" si="13"/>
        <v>461.46576920021926</v>
      </c>
      <c r="S16" s="42" t="s">
        <v>1</v>
      </c>
      <c r="T16" s="43" t="s">
        <v>158</v>
      </c>
      <c r="U16" s="43" t="s">
        <v>158</v>
      </c>
      <c r="V16" s="44" t="s">
        <v>188</v>
      </c>
      <c r="W16" s="45"/>
      <c r="X16" s="45"/>
      <c r="Y16" s="43" t="s">
        <v>158</v>
      </c>
      <c r="Z16" s="43" t="s">
        <v>158</v>
      </c>
      <c r="AC16" s="42">
        <f>A13</f>
        <v>2010</v>
      </c>
      <c r="AD16" s="50">
        <f>T14/T24</f>
        <v>0.018960068945705257</v>
      </c>
      <c r="AE16" s="51"/>
      <c r="AF16" s="51"/>
      <c r="AG16" s="51"/>
      <c r="AH16" s="51"/>
      <c r="AI16" s="51"/>
      <c r="AJ16" s="51"/>
      <c r="AM16" s="80" t="s">
        <v>192</v>
      </c>
      <c r="AN16" s="50">
        <f>AVERAGE(AN10:AN13)</f>
        <v>1.2366324307069139</v>
      </c>
      <c r="AO16" s="50">
        <f>AVERAGE(AO9:AO12)</f>
        <v>1.3925124119831986</v>
      </c>
      <c r="AP16" s="50">
        <f>AVERAGE(AP8:AP11)</f>
        <v>1.2908098254085814</v>
      </c>
      <c r="AQ16" s="74"/>
      <c r="AR16" s="74"/>
      <c r="AS16" s="74"/>
      <c r="AT16" s="74"/>
      <c r="AW16" s="42">
        <f t="shared" si="7"/>
        <v>2008</v>
      </c>
      <c r="AX16" s="50">
        <f>AF14</f>
        <v>0.03441215843767226</v>
      </c>
      <c r="AY16" s="50" t="str">
        <f>AP20</f>
        <v>1.887</v>
      </c>
      <c r="AZ16" s="50">
        <f t="shared" si="8"/>
        <v>0.065</v>
      </c>
      <c r="BA16" s="58">
        <v>16326</v>
      </c>
      <c r="BB16" s="58">
        <f t="shared" si="9"/>
        <v>1061.19</v>
      </c>
      <c r="BC16" s="58">
        <f>V12</f>
        <v>437</v>
      </c>
      <c r="BD16" s="58">
        <f t="shared" si="10"/>
        <v>624.19</v>
      </c>
    </row>
    <row r="17" spans="1:56" ht="15.75">
      <c r="A17" s="42">
        <f aca="true" t="shared" si="14" ref="A17:A22">A7</f>
        <v>2004</v>
      </c>
      <c r="B17" s="50">
        <f aca="true" t="shared" si="15" ref="B17:G17">C7/B7</f>
        <v>2.3380281690140845</v>
      </c>
      <c r="C17" s="50">
        <f t="shared" si="15"/>
        <v>1.7228915662650603</v>
      </c>
      <c r="D17" s="50">
        <f t="shared" si="15"/>
        <v>1.4545454545454546</v>
      </c>
      <c r="E17" s="50">
        <f t="shared" si="15"/>
        <v>1.2668269230769231</v>
      </c>
      <c r="F17" s="50">
        <f t="shared" si="15"/>
        <v>1.159392789373814</v>
      </c>
      <c r="G17" s="50">
        <f t="shared" si="15"/>
        <v>1.1080196399345335</v>
      </c>
      <c r="H17" s="45"/>
      <c r="I17"/>
      <c r="K17" s="42">
        <f t="shared" si="11"/>
        <v>2008</v>
      </c>
      <c r="L17" s="45"/>
      <c r="M17" s="58">
        <f>D11</f>
        <v>437</v>
      </c>
      <c r="N17" s="59">
        <f>D30</f>
        <v>2.6211585631125898</v>
      </c>
      <c r="O17" s="58">
        <f t="shared" si="12"/>
        <v>1145.4462920802018</v>
      </c>
      <c r="P17" s="58">
        <f t="shared" si="13"/>
        <v>708.4462920802018</v>
      </c>
      <c r="S17" s="42" t="s">
        <v>4</v>
      </c>
      <c r="T17" s="46" t="s">
        <v>160</v>
      </c>
      <c r="U17" s="46" t="s">
        <v>161</v>
      </c>
      <c r="V17" s="46" t="s">
        <v>162</v>
      </c>
      <c r="W17" s="46" t="s">
        <v>163</v>
      </c>
      <c r="X17" s="46" t="s">
        <v>164</v>
      </c>
      <c r="Y17" s="46" t="s">
        <v>165</v>
      </c>
      <c r="Z17" s="46" t="s">
        <v>166</v>
      </c>
      <c r="AM17" s="80" t="s">
        <v>193</v>
      </c>
      <c r="AN17" s="50">
        <f>(SUM(AN8:AN13)-MAX(AN8:AN13)-MIN(AN8:AN13))/4</f>
        <v>1.260947476261205</v>
      </c>
      <c r="AO17" s="50">
        <f>(SUM(AO8:AO13)-MAX(AO8:AO13)-MIN(AO8:AO13))/3</f>
        <v>1.3931098006689524</v>
      </c>
      <c r="AP17" s="50">
        <f>(SUM(AP8:AP13)-MAX(AP8:AP13)-MIN(AP8:AP13))/2</f>
        <v>1.2946883441445252</v>
      </c>
      <c r="AQ17" s="51"/>
      <c r="AR17" s="51"/>
      <c r="AS17" s="51"/>
      <c r="AT17" s="74"/>
      <c r="AW17" s="42">
        <f t="shared" si="7"/>
        <v>2009</v>
      </c>
      <c r="AX17" s="50">
        <f>AE15</f>
        <v>0.02506265664160401</v>
      </c>
      <c r="AY17" s="50" t="str">
        <f>AO20</f>
        <v>2.629</v>
      </c>
      <c r="AZ17" s="50">
        <f t="shared" si="8"/>
        <v>0.066</v>
      </c>
      <c r="BA17" s="58">
        <v>17641</v>
      </c>
      <c r="BB17" s="58">
        <f t="shared" si="9"/>
        <v>1164.306</v>
      </c>
      <c r="BC17" s="58">
        <f>U13</f>
        <v>280</v>
      </c>
      <c r="BD17" s="58">
        <f t="shared" si="10"/>
        <v>884.306</v>
      </c>
    </row>
    <row r="18" spans="1:56" ht="15.75">
      <c r="A18" s="42">
        <f t="shared" si="14"/>
        <v>2005</v>
      </c>
      <c r="B18" s="50">
        <f>C8/B8</f>
        <v>2.2771084337349397</v>
      </c>
      <c r="C18" s="50">
        <f>D8/C8</f>
        <v>1.656084656084656</v>
      </c>
      <c r="D18" s="50">
        <f>E8/D8</f>
        <v>1.463258785942492</v>
      </c>
      <c r="E18" s="50">
        <f>F8/E8</f>
        <v>1.275109170305677</v>
      </c>
      <c r="F18" s="50">
        <f>G8/F8</f>
        <v>1.1506849315068493</v>
      </c>
      <c r="G18" s="51"/>
      <c r="H18" s="45"/>
      <c r="I18"/>
      <c r="K18" s="42">
        <f t="shared" si="11"/>
        <v>2009</v>
      </c>
      <c r="L18" s="45"/>
      <c r="M18" s="58">
        <f>C12</f>
        <v>280</v>
      </c>
      <c r="N18" s="59">
        <f>C30</f>
        <v>4.518281988965013</v>
      </c>
      <c r="O18" s="58">
        <f t="shared" si="12"/>
        <v>1265.1189569102037</v>
      </c>
      <c r="P18" s="58">
        <f t="shared" si="13"/>
        <v>985.1189569102037</v>
      </c>
      <c r="S18" s="42">
        <f aca="true" t="shared" si="16" ref="S18:S23">+S19-1</f>
        <v>2004</v>
      </c>
      <c r="T18" s="66">
        <v>3361</v>
      </c>
      <c r="U18" s="66">
        <v>5991</v>
      </c>
      <c r="V18" s="66">
        <v>7341</v>
      </c>
      <c r="W18" s="66">
        <v>8259</v>
      </c>
      <c r="X18" s="66">
        <v>8916</v>
      </c>
      <c r="Y18" s="66">
        <v>9408</v>
      </c>
      <c r="Z18" s="66">
        <v>9759</v>
      </c>
      <c r="AC18" s="41" t="s">
        <v>234</v>
      </c>
      <c r="AM18" s="80"/>
      <c r="AN18" s="50"/>
      <c r="AO18" s="50"/>
      <c r="AP18" s="50"/>
      <c r="AQ18" s="51"/>
      <c r="AR18" s="51"/>
      <c r="AS18" s="51"/>
      <c r="AT18" s="74"/>
      <c r="AW18" s="42">
        <f>A13</f>
        <v>2010</v>
      </c>
      <c r="AX18" s="50">
        <f>AD16</f>
        <v>0.018960068945705257</v>
      </c>
      <c r="AY18" s="50" t="str">
        <f>AN20</f>
        <v>3.252</v>
      </c>
      <c r="AZ18" s="50">
        <f t="shared" si="8"/>
        <v>0.062</v>
      </c>
      <c r="BA18" s="60">
        <v>20716</v>
      </c>
      <c r="BB18" s="60">
        <f t="shared" si="9"/>
        <v>1284.392</v>
      </c>
      <c r="BC18" s="60">
        <f>T14</f>
        <v>132</v>
      </c>
      <c r="BD18" s="60">
        <f t="shared" si="10"/>
        <v>1152.392</v>
      </c>
    </row>
    <row r="19" spans="1:56" ht="15.75">
      <c r="A19" s="42">
        <f t="shared" si="14"/>
        <v>2006</v>
      </c>
      <c r="B19" s="50">
        <f>C9/B9</f>
        <v>2.2903225806451615</v>
      </c>
      <c r="C19" s="50">
        <f>D9/C9</f>
        <v>1.6948356807511737</v>
      </c>
      <c r="D19" s="50">
        <f>E9/D9</f>
        <v>1.448753462603878</v>
      </c>
      <c r="E19" s="50">
        <f>F9/E9</f>
        <v>1.2562141491395793</v>
      </c>
      <c r="F19" s="51"/>
      <c r="G19" s="51"/>
      <c r="H19" s="45"/>
      <c r="I19"/>
      <c r="K19" s="42">
        <f>A13</f>
        <v>2010</v>
      </c>
      <c r="L19" s="45"/>
      <c r="M19" s="60">
        <f>B13</f>
        <v>132</v>
      </c>
      <c r="N19" s="454">
        <f>B30</f>
        <v>10.16998966458166</v>
      </c>
      <c r="O19" s="60">
        <f t="shared" si="12"/>
        <v>1342.438635724779</v>
      </c>
      <c r="P19" s="60">
        <f t="shared" si="13"/>
        <v>1210.438635724779</v>
      </c>
      <c r="S19" s="42">
        <f t="shared" si="16"/>
        <v>2005</v>
      </c>
      <c r="T19" s="66">
        <v>3780</v>
      </c>
      <c r="U19" s="66">
        <v>6671</v>
      </c>
      <c r="V19" s="66">
        <v>8156</v>
      </c>
      <c r="W19" s="66">
        <v>9205</v>
      </c>
      <c r="X19" s="66">
        <v>9990</v>
      </c>
      <c r="Y19" s="66">
        <v>10508</v>
      </c>
      <c r="Z19" s="67"/>
      <c r="AM19" s="80" t="s">
        <v>173</v>
      </c>
      <c r="AN19" s="79">
        <f>AN16</f>
        <v>1.2366324307069139</v>
      </c>
      <c r="AO19" s="79">
        <f>AO16</f>
        <v>1.3925124119831986</v>
      </c>
      <c r="AP19" s="79">
        <f>AP16</f>
        <v>1.2908098254085814</v>
      </c>
      <c r="AQ19" s="79">
        <f>AQ15</f>
        <v>1.1689751405590971</v>
      </c>
      <c r="AR19" s="79">
        <f>AR15</f>
        <v>1.0963611525687993</v>
      </c>
      <c r="AS19" s="79">
        <f>AS15</f>
        <v>1.068167719285182</v>
      </c>
      <c r="AT19" s="79">
        <f>AS19</f>
        <v>1.068167719285182</v>
      </c>
      <c r="AW19" s="45"/>
      <c r="AX19" s="45"/>
      <c r="AY19" s="45"/>
      <c r="AZ19" s="45"/>
      <c r="BA19" s="45"/>
      <c r="BB19" s="45"/>
      <c r="BC19" s="45"/>
      <c r="BD19" s="45"/>
    </row>
    <row r="20" spans="1:56" ht="15.75">
      <c r="A20" s="42">
        <f t="shared" si="14"/>
        <v>2007</v>
      </c>
      <c r="B20" s="50">
        <f>C10/B10</f>
        <v>2.1941747572815533</v>
      </c>
      <c r="C20" s="50">
        <f>D10/C10</f>
        <v>1.7433628318584071</v>
      </c>
      <c r="D20" s="50">
        <f>E10/D10</f>
        <v>1.4746192893401016</v>
      </c>
      <c r="E20" s="51"/>
      <c r="F20" s="51"/>
      <c r="G20" s="51"/>
      <c r="H20" s="45"/>
      <c r="I20"/>
      <c r="K20" s="45"/>
      <c r="L20" s="45"/>
      <c r="M20" s="61"/>
      <c r="N20" s="61"/>
      <c r="O20" s="61"/>
      <c r="P20" s="61"/>
      <c r="S20" s="42">
        <f t="shared" si="16"/>
        <v>2006</v>
      </c>
      <c r="T20" s="66">
        <v>4212</v>
      </c>
      <c r="U20" s="66">
        <v>7541</v>
      </c>
      <c r="V20" s="66">
        <v>9351</v>
      </c>
      <c r="W20" s="66">
        <v>10639</v>
      </c>
      <c r="X20" s="66">
        <v>11536</v>
      </c>
      <c r="Y20" s="67"/>
      <c r="Z20" s="67"/>
      <c r="AM20" s="80" t="s">
        <v>175</v>
      </c>
      <c r="AN20" s="75" t="s">
        <v>194</v>
      </c>
      <c r="AO20" s="75" t="s">
        <v>195</v>
      </c>
      <c r="AP20" s="75" t="s">
        <v>196</v>
      </c>
      <c r="AQ20" s="75" t="s">
        <v>197</v>
      </c>
      <c r="AR20" s="75" t="s">
        <v>198</v>
      </c>
      <c r="AS20" s="75" t="s">
        <v>199</v>
      </c>
      <c r="AT20" s="75" t="s">
        <v>200</v>
      </c>
      <c r="AW20" s="44" t="s">
        <v>208</v>
      </c>
      <c r="AX20" s="45"/>
      <c r="AY20" s="45"/>
      <c r="AZ20" s="45"/>
      <c r="BA20" s="58">
        <f>SUM(BA12:BA18)</f>
        <v>103487</v>
      </c>
      <c r="BB20" s="58">
        <f>SUM(BB12:BB18)</f>
        <v>6984.870000000001</v>
      </c>
      <c r="BC20" s="58">
        <f>SUM(BC12:BC18)</f>
        <v>3436</v>
      </c>
      <c r="BD20" s="58">
        <f>SUM(BD12:BD18)</f>
        <v>3548.87</v>
      </c>
    </row>
    <row r="21" spans="1:26" ht="15">
      <c r="A21" s="42">
        <f t="shared" si="14"/>
        <v>2008</v>
      </c>
      <c r="B21" s="50">
        <f>C11/B11</f>
        <v>2.2685185185185186</v>
      </c>
      <c r="C21" s="50">
        <f>D11/C11</f>
        <v>1.7836734693877552</v>
      </c>
      <c r="D21" s="51"/>
      <c r="E21" s="51"/>
      <c r="F21" s="51"/>
      <c r="G21" s="51"/>
      <c r="H21" s="45"/>
      <c r="I21"/>
      <c r="K21" s="42" t="s">
        <v>3</v>
      </c>
      <c r="L21" s="45"/>
      <c r="M21" s="58">
        <f>SUM(M13:M19)</f>
        <v>3436</v>
      </c>
      <c r="N21" s="54"/>
      <c r="O21" s="58">
        <f>SUM(O13:O19)</f>
        <v>7302.052579169631</v>
      </c>
      <c r="P21" s="58">
        <f>SUM(P13:P19)</f>
        <v>3866.0525791696314</v>
      </c>
      <c r="S21" s="42">
        <f t="shared" si="16"/>
        <v>2007</v>
      </c>
      <c r="T21" s="66">
        <v>4901</v>
      </c>
      <c r="U21" s="66">
        <v>8864</v>
      </c>
      <c r="V21" s="66">
        <v>10987</v>
      </c>
      <c r="W21" s="66">
        <v>12458</v>
      </c>
      <c r="X21" s="67"/>
      <c r="Y21" s="67"/>
      <c r="Z21" s="67"/>
    </row>
    <row r="22" spans="1:26" ht="15">
      <c r="A22" s="42">
        <f t="shared" si="14"/>
        <v>2009</v>
      </c>
      <c r="B22" s="50">
        <f>C12/B12</f>
        <v>2.1875</v>
      </c>
      <c r="C22" s="51"/>
      <c r="D22" s="51"/>
      <c r="E22" s="51"/>
      <c r="F22" s="51"/>
      <c r="G22" s="51"/>
      <c r="H22" s="45"/>
      <c r="I22"/>
      <c r="S22" s="42">
        <f t="shared" si="16"/>
        <v>2008</v>
      </c>
      <c r="T22" s="66">
        <v>5708</v>
      </c>
      <c r="U22" s="66">
        <v>10268</v>
      </c>
      <c r="V22" s="66">
        <v>12699</v>
      </c>
      <c r="W22" s="67"/>
      <c r="X22" s="67"/>
      <c r="Y22" s="67"/>
      <c r="Z22" s="67"/>
    </row>
    <row r="23" spans="1:26" ht="15">
      <c r="A23" s="45"/>
      <c r="B23" s="45"/>
      <c r="C23" s="45"/>
      <c r="D23" s="45"/>
      <c r="E23" s="45"/>
      <c r="F23" s="45"/>
      <c r="G23" s="45"/>
      <c r="H23" s="45"/>
      <c r="I23"/>
      <c r="L23" s="41" t="s">
        <v>236</v>
      </c>
      <c r="S23" s="42">
        <f t="shared" si="16"/>
        <v>2009</v>
      </c>
      <c r="T23" s="66">
        <v>6093</v>
      </c>
      <c r="U23" s="66">
        <v>11172</v>
      </c>
      <c r="V23" s="67"/>
      <c r="W23" s="67"/>
      <c r="X23" s="67"/>
      <c r="Y23" s="67"/>
      <c r="Z23" s="67"/>
    </row>
    <row r="24" spans="1:26" ht="15">
      <c r="A24" s="44" t="s">
        <v>42</v>
      </c>
      <c r="B24" s="50">
        <f>AVERAGE(B17:B22)</f>
        <v>2.2592754098657095</v>
      </c>
      <c r="C24" s="50">
        <f>AVERAGE(C17:C21)</f>
        <v>1.7201696408694105</v>
      </c>
      <c r="D24" s="50">
        <f>AVERAGE(D17:D20)</f>
        <v>1.4602942481079815</v>
      </c>
      <c r="E24" s="50">
        <f>AVERAGE(E17:E19)</f>
        <v>1.2660500808407265</v>
      </c>
      <c r="F24" s="50">
        <f>AVERAGE(F17:F18)</f>
        <v>1.1550388604403317</v>
      </c>
      <c r="G24" s="50">
        <f>G17</f>
        <v>1.1080196399345335</v>
      </c>
      <c r="H24" s="51"/>
      <c r="I24"/>
      <c r="S24" s="42">
        <f>A13</f>
        <v>2010</v>
      </c>
      <c r="T24" s="66">
        <v>6962</v>
      </c>
      <c r="U24" s="67"/>
      <c r="V24" s="67"/>
      <c r="W24" s="67"/>
      <c r="X24" s="67"/>
      <c r="Y24" s="67"/>
      <c r="Z24" s="67"/>
    </row>
    <row r="25" spans="1:9" ht="15">
      <c r="A25" s="44" t="s">
        <v>170</v>
      </c>
      <c r="B25" s="50">
        <f>AVERAGE(B19:B22)</f>
        <v>2.2351289641113086</v>
      </c>
      <c r="C25" s="50">
        <f>AVERAGE(C18:C21)</f>
        <v>1.719489159520498</v>
      </c>
      <c r="D25" s="50">
        <f>AVERAGE(D17:D20)</f>
        <v>1.4602942481079815</v>
      </c>
      <c r="E25" s="51"/>
      <c r="F25" s="51"/>
      <c r="G25" s="51"/>
      <c r="H25" s="51"/>
      <c r="I25"/>
    </row>
    <row r="26" spans="1:19" ht="15">
      <c r="A26" s="44" t="s">
        <v>171</v>
      </c>
      <c r="B26" s="50">
        <f>(SUM(B17:B22)-MAX(B17:B22)-MIN(B17:B22))/4</f>
        <v>2.2575310725450435</v>
      </c>
      <c r="C26" s="50">
        <f>(SUM(C17:C22)-MAX(C17:C22)-MIN(C17:C22))/3</f>
        <v>1.7203633596248802</v>
      </c>
      <c r="D26" s="50">
        <f>(SUM(D17:D22)-MAX(D17:D22)-MIN(D17:D22))/2</f>
        <v>1.4589021202439731</v>
      </c>
      <c r="E26" s="51"/>
      <c r="F26" s="51"/>
      <c r="G26" s="51"/>
      <c r="H26" s="51"/>
      <c r="I26"/>
      <c r="S26" s="41" t="s">
        <v>235</v>
      </c>
    </row>
    <row r="27" spans="1:9" ht="15">
      <c r="A27" s="44" t="s">
        <v>172</v>
      </c>
      <c r="B27" s="50">
        <f>SUM(C7:C12)/SUM(B7:B12)</f>
        <v>2.250853242320819</v>
      </c>
      <c r="C27" s="50">
        <f>SUM(D7:D11)/SUM(C7:C11)</f>
        <v>1.7237728585178056</v>
      </c>
      <c r="D27" s="50">
        <f>SUM(E7:E10)/SUM(D7:D10)</f>
        <v>1.4608567208271788</v>
      </c>
      <c r="E27" s="50">
        <f>SUM(F7:F9)/SUM(E7:E9)</f>
        <v>1.2655690765926986</v>
      </c>
      <c r="F27" s="50">
        <f>SUM(G7:G8)/SUM(F7:F8)</f>
        <v>1.1548154815481548</v>
      </c>
      <c r="G27" s="50">
        <f>G24</f>
        <v>1.1080196399345335</v>
      </c>
      <c r="H27" s="51"/>
      <c r="I27"/>
    </row>
    <row r="28" spans="1:9" ht="15">
      <c r="A28" s="45"/>
      <c r="B28" s="51"/>
      <c r="C28" s="51"/>
      <c r="D28" s="51"/>
      <c r="E28" s="51"/>
      <c r="F28" s="51"/>
      <c r="G28" s="51"/>
      <c r="H28" s="51"/>
      <c r="I28"/>
    </row>
    <row r="29" spans="1:9" ht="15">
      <c r="A29" s="44" t="s">
        <v>173</v>
      </c>
      <c r="B29" s="50">
        <f aca="true" t="shared" si="17" ref="B29:G29">B27</f>
        <v>2.250853242320819</v>
      </c>
      <c r="C29" s="50">
        <f t="shared" si="17"/>
        <v>1.7237728585178056</v>
      </c>
      <c r="D29" s="50">
        <f t="shared" si="17"/>
        <v>1.4608567208271788</v>
      </c>
      <c r="E29" s="50">
        <f t="shared" si="17"/>
        <v>1.2655690765926986</v>
      </c>
      <c r="F29" s="50">
        <f t="shared" si="17"/>
        <v>1.1548154815481548</v>
      </c>
      <c r="G29" s="50">
        <f t="shared" si="17"/>
        <v>1.1080196399345335</v>
      </c>
      <c r="H29" s="50" t="s">
        <v>174</v>
      </c>
      <c r="I29"/>
    </row>
    <row r="30" spans="1:9" ht="15">
      <c r="A30" s="44" t="s">
        <v>175</v>
      </c>
      <c r="B30" s="50">
        <f aca="true" t="shared" si="18" ref="B30:G30">B29*C30</f>
        <v>10.16998966458166</v>
      </c>
      <c r="C30" s="50">
        <f t="shared" si="18"/>
        <v>4.518281988965013</v>
      </c>
      <c r="D30" s="50">
        <f t="shared" si="18"/>
        <v>2.6211585631125898</v>
      </c>
      <c r="E30" s="50">
        <f t="shared" si="18"/>
        <v>1.794261220654422</v>
      </c>
      <c r="F30" s="50">
        <f t="shared" si="18"/>
        <v>1.4177505233338392</v>
      </c>
      <c r="G30" s="50">
        <f t="shared" si="18"/>
        <v>1.2276857610474632</v>
      </c>
      <c r="H30" s="50" t="str">
        <f>H29</f>
        <v>1.108</v>
      </c>
      <c r="I30"/>
    </row>
    <row r="31" spans="1:9" ht="12.75">
      <c r="A31"/>
      <c r="B31"/>
      <c r="C31"/>
      <c r="D31"/>
      <c r="E31"/>
      <c r="F31"/>
      <c r="G31"/>
      <c r="H31"/>
      <c r="I31"/>
    </row>
    <row r="33" ht="12.75">
      <c r="A33" s="41" t="s">
        <v>233</v>
      </c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spans="1:7" ht="12.75">
      <c r="A56"/>
      <c r="B56"/>
      <c r="C56"/>
      <c r="D56"/>
      <c r="E56"/>
      <c r="F56"/>
      <c r="G56"/>
    </row>
    <row r="84" spans="1:8" ht="12.75">
      <c r="A84"/>
      <c r="B84"/>
      <c r="C84"/>
      <c r="D84"/>
      <c r="E84"/>
      <c r="F84"/>
      <c r="G84"/>
      <c r="H84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spans="1:9" ht="12.75">
      <c r="A103"/>
      <c r="B103"/>
      <c r="C103"/>
      <c r="D103"/>
      <c r="E103"/>
      <c r="F103"/>
      <c r="G103"/>
      <c r="H103"/>
      <c r="I103"/>
    </row>
    <row r="125" spans="1:8" ht="12.75">
      <c r="A125"/>
      <c r="B125"/>
      <c r="C125"/>
      <c r="D125"/>
      <c r="E125"/>
      <c r="F125"/>
      <c r="G125"/>
      <c r="H125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00390625" style="41" customWidth="1"/>
    <col min="2" max="2" width="8.421875" style="41" customWidth="1"/>
    <col min="3" max="3" width="12.00390625" style="41" customWidth="1"/>
    <col min="4" max="4" width="8.421875" style="41" customWidth="1"/>
    <col min="5" max="5" width="12.00390625" style="41" customWidth="1"/>
    <col min="6" max="6" width="8.421875" style="41" customWidth="1"/>
    <col min="7" max="7" width="12.00390625" style="41" customWidth="1"/>
    <col min="8" max="8" width="9.140625" style="41" customWidth="1"/>
    <col min="9" max="9" width="11.28125" style="41" customWidth="1"/>
    <col min="10" max="18" width="9.140625" style="41" customWidth="1"/>
    <col min="19" max="19" width="11.00390625" style="41" bestFit="1" customWidth="1"/>
    <col min="20" max="16384" width="9.140625" style="41" customWidth="1"/>
  </cols>
  <sheetData>
    <row r="1" spans="1:11" ht="15">
      <c r="A1" s="106" t="s">
        <v>231</v>
      </c>
      <c r="K1" s="106" t="s">
        <v>232</v>
      </c>
    </row>
    <row r="3" spans="1:19" ht="20.25">
      <c r="A3" s="82" t="s">
        <v>209</v>
      </c>
      <c r="B3" s="63"/>
      <c r="C3" s="65"/>
      <c r="D3" s="65"/>
      <c r="E3" s="65"/>
      <c r="F3" s="65"/>
      <c r="G3" s="39"/>
      <c r="H3" s="453"/>
      <c r="K3" s="96" t="s">
        <v>209</v>
      </c>
      <c r="L3" s="97"/>
      <c r="M3" s="98"/>
      <c r="N3" s="99"/>
      <c r="O3" s="99"/>
      <c r="P3" s="99"/>
      <c r="Q3" s="39"/>
      <c r="R3" s="40"/>
      <c r="S3" s="40"/>
    </row>
    <row r="4" spans="1:19" ht="15">
      <c r="A4" s="45"/>
      <c r="B4" s="45"/>
      <c r="C4" s="45"/>
      <c r="D4" s="45"/>
      <c r="E4" s="45"/>
      <c r="F4" s="45"/>
      <c r="G4" s="45"/>
      <c r="H4" s="453"/>
      <c r="K4" s="45"/>
      <c r="L4" s="45"/>
      <c r="M4" s="45"/>
      <c r="N4" s="45"/>
      <c r="O4" s="45"/>
      <c r="P4" s="45"/>
      <c r="Q4" s="45"/>
      <c r="R4" s="40"/>
      <c r="S4" s="40"/>
    </row>
    <row r="5" spans="1:19" ht="18">
      <c r="A5" s="83" t="s">
        <v>210</v>
      </c>
      <c r="B5" s="84"/>
      <c r="C5" s="39"/>
      <c r="D5" s="39"/>
      <c r="E5" s="39"/>
      <c r="F5" s="39"/>
      <c r="G5" s="39"/>
      <c r="H5" s="453"/>
      <c r="K5" s="45"/>
      <c r="L5" s="45"/>
      <c r="M5" s="45"/>
      <c r="N5" s="45"/>
      <c r="O5" s="45"/>
      <c r="P5" s="45"/>
      <c r="Q5" s="45"/>
      <c r="R5" s="40"/>
      <c r="S5" s="40"/>
    </row>
    <row r="6" spans="1:19" ht="20.25">
      <c r="A6" s="38" t="s">
        <v>177</v>
      </c>
      <c r="B6" s="39"/>
      <c r="C6" s="39"/>
      <c r="D6" s="39"/>
      <c r="E6" s="39"/>
      <c r="F6" s="39"/>
      <c r="G6" s="39"/>
      <c r="H6" s="453"/>
      <c r="K6" s="45"/>
      <c r="L6" s="100" t="s">
        <v>217</v>
      </c>
      <c r="M6" s="101"/>
      <c r="N6" s="101"/>
      <c r="O6" s="101"/>
      <c r="P6" s="101"/>
      <c r="Q6" s="45"/>
      <c r="R6" s="40"/>
      <c r="S6" s="102">
        <v>0.078</v>
      </c>
    </row>
    <row r="7" spans="1:19" ht="20.25">
      <c r="A7" s="45"/>
      <c r="B7" s="45"/>
      <c r="C7" s="45"/>
      <c r="D7" s="45"/>
      <c r="E7" s="45"/>
      <c r="F7" s="45"/>
      <c r="G7" s="45"/>
      <c r="H7" s="453"/>
      <c r="K7" s="45"/>
      <c r="L7" s="101"/>
      <c r="M7" s="101"/>
      <c r="N7" s="101"/>
      <c r="O7" s="101"/>
      <c r="P7" s="101"/>
      <c r="Q7" s="45"/>
      <c r="R7" s="40"/>
      <c r="S7" s="102"/>
    </row>
    <row r="8" spans="1:19" ht="20.25">
      <c r="A8" s="85" t="s">
        <v>211</v>
      </c>
      <c r="B8" s="86"/>
      <c r="C8" s="85" t="s">
        <v>18</v>
      </c>
      <c r="D8" s="86"/>
      <c r="E8" s="85" t="s">
        <v>18</v>
      </c>
      <c r="F8" s="86"/>
      <c r="G8" s="85"/>
      <c r="H8" s="453"/>
      <c r="K8" s="45"/>
      <c r="L8" s="100" t="s">
        <v>218</v>
      </c>
      <c r="M8" s="101"/>
      <c r="N8" s="101"/>
      <c r="O8" s="101"/>
      <c r="P8" s="101"/>
      <c r="Q8" s="45"/>
      <c r="R8" s="40"/>
      <c r="S8" s="102">
        <f>S6/2</f>
        <v>0.039</v>
      </c>
    </row>
    <row r="9" spans="1:19" ht="20.25">
      <c r="A9" s="87" t="s">
        <v>4</v>
      </c>
      <c r="B9" s="86"/>
      <c r="C9" s="87" t="s">
        <v>212</v>
      </c>
      <c r="D9" s="86"/>
      <c r="E9" s="87" t="s">
        <v>23</v>
      </c>
      <c r="F9" s="86"/>
      <c r="G9" s="87" t="s">
        <v>69</v>
      </c>
      <c r="H9" s="453"/>
      <c r="K9" s="45"/>
      <c r="L9" s="101"/>
      <c r="M9" s="101"/>
      <c r="N9" s="101"/>
      <c r="O9" s="101"/>
      <c r="P9" s="101"/>
      <c r="Q9" s="45"/>
      <c r="R9" s="40"/>
      <c r="S9" s="103"/>
    </row>
    <row r="10" spans="1:19" ht="20.25">
      <c r="A10" s="85" t="s">
        <v>25</v>
      </c>
      <c r="B10" s="86"/>
      <c r="C10" s="85" t="s">
        <v>26</v>
      </c>
      <c r="D10" s="86"/>
      <c r="E10" s="85" t="s">
        <v>213</v>
      </c>
      <c r="F10" s="86"/>
      <c r="G10" s="85" t="s">
        <v>214</v>
      </c>
      <c r="H10" s="453"/>
      <c r="K10" s="45"/>
      <c r="L10" s="100" t="s">
        <v>219</v>
      </c>
      <c r="M10" s="101"/>
      <c r="N10" s="101"/>
      <c r="O10" s="101"/>
      <c r="P10" s="101"/>
      <c r="Q10" s="45"/>
      <c r="R10" s="40"/>
      <c r="S10" s="104">
        <v>22989</v>
      </c>
    </row>
    <row r="11" spans="1:19" ht="16.5" customHeight="1">
      <c r="A11" s="85"/>
      <c r="B11" s="86"/>
      <c r="C11" s="85"/>
      <c r="D11" s="86"/>
      <c r="E11" s="85"/>
      <c r="F11" s="86"/>
      <c r="G11" s="88" t="s">
        <v>215</v>
      </c>
      <c r="H11" s="453"/>
      <c r="K11" s="45"/>
      <c r="L11" s="101"/>
      <c r="M11" s="101"/>
      <c r="N11" s="101"/>
      <c r="O11" s="101"/>
      <c r="P11" s="101"/>
      <c r="Q11" s="45"/>
      <c r="R11" s="40"/>
      <c r="S11" s="102"/>
    </row>
    <row r="12" spans="1:19" ht="20.25">
      <c r="A12" s="86"/>
      <c r="B12" s="86"/>
      <c r="C12" s="86"/>
      <c r="D12" s="86"/>
      <c r="E12" s="86"/>
      <c r="F12" s="86"/>
      <c r="G12" s="86"/>
      <c r="H12" s="453"/>
      <c r="K12" s="45"/>
      <c r="L12" s="100" t="s">
        <v>220</v>
      </c>
      <c r="M12" s="101"/>
      <c r="N12" s="101"/>
      <c r="O12" s="101"/>
      <c r="P12" s="101"/>
      <c r="Q12" s="45"/>
      <c r="R12" s="40"/>
      <c r="S12" s="104">
        <v>5296</v>
      </c>
    </row>
    <row r="13" spans="1:19" ht="20.25">
      <c r="A13" s="85">
        <f>+A15-1</f>
        <v>2008</v>
      </c>
      <c r="B13" s="86"/>
      <c r="C13" s="89">
        <v>1038</v>
      </c>
      <c r="D13" s="86"/>
      <c r="E13" s="89">
        <v>14107</v>
      </c>
      <c r="F13" s="86"/>
      <c r="G13" s="90">
        <f>C13/E13</f>
        <v>0.0735804919543489</v>
      </c>
      <c r="H13" s="453"/>
      <c r="K13" s="45"/>
      <c r="L13" s="101"/>
      <c r="M13" s="101"/>
      <c r="N13" s="101"/>
      <c r="O13" s="101"/>
      <c r="P13" s="101"/>
      <c r="Q13" s="45"/>
      <c r="R13" s="40"/>
      <c r="S13" s="40"/>
    </row>
    <row r="14" spans="1:19" ht="20.25">
      <c r="A14" s="86"/>
      <c r="B14" s="86"/>
      <c r="C14" s="86"/>
      <c r="D14" s="86"/>
      <c r="E14" s="86"/>
      <c r="F14" s="86"/>
      <c r="G14" s="91"/>
      <c r="H14" s="453"/>
      <c r="K14" s="45"/>
      <c r="L14" s="100" t="s">
        <v>221</v>
      </c>
      <c r="M14" s="101"/>
      <c r="N14" s="101"/>
      <c r="O14" s="101"/>
      <c r="P14" s="101"/>
      <c r="Q14" s="45"/>
      <c r="R14" s="40"/>
      <c r="S14" s="40"/>
    </row>
    <row r="15" spans="1:19" ht="20.25">
      <c r="A15" s="85">
        <f>+A17-1</f>
        <v>2009</v>
      </c>
      <c r="B15" s="86"/>
      <c r="C15" s="89">
        <v>1244</v>
      </c>
      <c r="D15" s="86"/>
      <c r="E15" s="89">
        <v>15906</v>
      </c>
      <c r="F15" s="86"/>
      <c r="G15" s="90">
        <f>C15/E15</f>
        <v>0.07820948069910726</v>
      </c>
      <c r="H15" s="453"/>
      <c r="K15" s="45"/>
      <c r="L15" s="101"/>
      <c r="M15" s="101"/>
      <c r="N15" s="101"/>
      <c r="O15" s="101"/>
      <c r="P15" s="101"/>
      <c r="Q15" s="45"/>
      <c r="R15" s="40"/>
      <c r="S15" s="40"/>
    </row>
    <row r="16" spans="1:19" ht="20.25">
      <c r="A16" s="86"/>
      <c r="B16" s="86"/>
      <c r="C16" s="92"/>
      <c r="D16" s="86"/>
      <c r="E16" s="92"/>
      <c r="F16" s="86"/>
      <c r="G16" s="91"/>
      <c r="H16" s="453"/>
      <c r="K16" s="45"/>
      <c r="L16" s="105" t="s">
        <v>222</v>
      </c>
      <c r="M16" s="101"/>
      <c r="N16" s="101"/>
      <c r="O16" s="101"/>
      <c r="P16" s="101"/>
      <c r="Q16" s="45"/>
      <c r="R16" s="40"/>
      <c r="S16" s="40"/>
    </row>
    <row r="17" spans="1:19" ht="20.25">
      <c r="A17" s="87">
        <f>latest_year</f>
        <v>2010</v>
      </c>
      <c r="B17" s="86"/>
      <c r="C17" s="93">
        <v>1459</v>
      </c>
      <c r="D17" s="86"/>
      <c r="E17" s="93">
        <v>17709</v>
      </c>
      <c r="F17" s="86"/>
      <c r="G17" s="94">
        <f>C17/E17</f>
        <v>0.08238748658874019</v>
      </c>
      <c r="H17" s="453"/>
      <c r="K17" s="45"/>
      <c r="L17" s="101"/>
      <c r="M17" s="101"/>
      <c r="N17" s="101"/>
      <c r="O17" s="101"/>
      <c r="P17" s="101"/>
      <c r="Q17" s="45"/>
      <c r="R17" s="40"/>
      <c r="S17" s="40"/>
    </row>
    <row r="18" spans="1:19" ht="20.25">
      <c r="A18" s="86"/>
      <c r="B18" s="86"/>
      <c r="C18" s="86"/>
      <c r="D18" s="86"/>
      <c r="E18" s="86"/>
      <c r="F18" s="86"/>
      <c r="G18" s="91"/>
      <c r="H18" s="453"/>
      <c r="K18" s="45"/>
      <c r="L18" s="105" t="s">
        <v>223</v>
      </c>
      <c r="M18" s="101"/>
      <c r="N18" s="101"/>
      <c r="O18" s="101"/>
      <c r="P18" s="101"/>
      <c r="Q18" s="45"/>
      <c r="R18" s="40"/>
      <c r="S18" s="40"/>
    </row>
    <row r="19" spans="1:19" ht="18">
      <c r="A19" s="95" t="s">
        <v>216</v>
      </c>
      <c r="B19" s="86"/>
      <c r="C19" s="89">
        <f>SUM(C13:C17)</f>
        <v>3741</v>
      </c>
      <c r="D19" s="86"/>
      <c r="E19" s="89">
        <f>SUM(E13:E17)</f>
        <v>47722</v>
      </c>
      <c r="F19" s="86"/>
      <c r="G19" s="90">
        <f>C19/E19</f>
        <v>0.07839151753908051</v>
      </c>
      <c r="H19" s="453"/>
      <c r="K19" s="45"/>
      <c r="L19" s="45"/>
      <c r="M19" s="45"/>
      <c r="N19" s="45"/>
      <c r="O19" s="45"/>
      <c r="P19" s="45"/>
      <c r="Q19" s="45"/>
      <c r="R19" s="40"/>
      <c r="S19" s="40"/>
    </row>
    <row r="20" spans="1:19" ht="20.25">
      <c r="A20" s="453"/>
      <c r="B20" s="453"/>
      <c r="C20" s="453"/>
      <c r="D20" s="453"/>
      <c r="E20" s="453"/>
      <c r="F20" s="453"/>
      <c r="G20" s="453"/>
      <c r="H20" s="453"/>
      <c r="K20" s="45"/>
      <c r="L20" s="105" t="s">
        <v>224</v>
      </c>
      <c r="M20" s="101"/>
      <c r="N20" s="45"/>
      <c r="O20" s="45"/>
      <c r="P20" s="45"/>
      <c r="Q20" s="45"/>
      <c r="R20" s="40"/>
      <c r="S20" s="40"/>
    </row>
    <row r="21" spans="1:8" ht="12.75">
      <c r="A21" s="453"/>
      <c r="B21" s="453"/>
      <c r="C21" s="453"/>
      <c r="D21" s="453"/>
      <c r="E21" s="453"/>
      <c r="F21" s="453"/>
      <c r="G21" s="453"/>
      <c r="H21" s="453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28125" style="7" customWidth="1"/>
    <col min="2" max="2" width="12.421875" style="7" customWidth="1"/>
    <col min="3" max="3" width="16.00390625" style="7" customWidth="1"/>
    <col min="4" max="4" width="15.7109375" style="7" customWidth="1"/>
    <col min="5" max="6" width="9.140625" style="7" customWidth="1"/>
    <col min="7" max="7" width="13.8515625" style="7" customWidth="1"/>
    <col min="8" max="8" width="15.421875" style="7" customWidth="1"/>
    <col min="9" max="9" width="12.57421875" style="7" customWidth="1"/>
    <col min="10" max="16384" width="9.140625" style="7" customWidth="1"/>
  </cols>
  <sheetData>
    <row r="1" spans="1:10" ht="12.75">
      <c r="A1" s="241"/>
      <c r="B1" s="242" t="s">
        <v>36</v>
      </c>
      <c r="C1" s="243"/>
      <c r="D1" s="244"/>
      <c r="E1" s="262"/>
      <c r="F1" s="123"/>
      <c r="G1" s="194" t="s">
        <v>36</v>
      </c>
      <c r="H1" s="201"/>
      <c r="I1" s="237"/>
      <c r="J1" s="115"/>
    </row>
    <row r="2" spans="1:10" ht="12.75">
      <c r="A2" s="245" t="s">
        <v>1</v>
      </c>
      <c r="B2" s="246" t="s">
        <v>18</v>
      </c>
      <c r="C2" s="241" t="s">
        <v>37</v>
      </c>
      <c r="D2" s="241" t="s">
        <v>38</v>
      </c>
      <c r="E2" s="262"/>
      <c r="F2" s="129" t="s">
        <v>1</v>
      </c>
      <c r="G2" s="123" t="s">
        <v>18</v>
      </c>
      <c r="H2" s="123" t="s">
        <v>37</v>
      </c>
      <c r="I2" s="123" t="s">
        <v>38</v>
      </c>
      <c r="J2" s="115"/>
    </row>
    <row r="3" spans="1:10" ht="12.75">
      <c r="A3" s="247" t="s">
        <v>4</v>
      </c>
      <c r="B3" s="248" t="s">
        <v>39</v>
      </c>
      <c r="C3" s="247" t="s">
        <v>39</v>
      </c>
      <c r="D3" s="247" t="s">
        <v>19</v>
      </c>
      <c r="E3" s="262"/>
      <c r="F3" s="109" t="s">
        <v>4</v>
      </c>
      <c r="G3" s="109" t="s">
        <v>39</v>
      </c>
      <c r="H3" s="109" t="s">
        <v>39</v>
      </c>
      <c r="I3" s="109" t="s">
        <v>19</v>
      </c>
      <c r="J3" s="115"/>
    </row>
    <row r="4" spans="1:10" ht="12.75">
      <c r="A4" s="241"/>
      <c r="B4" s="249" t="s">
        <v>40</v>
      </c>
      <c r="C4" s="250" t="s">
        <v>41</v>
      </c>
      <c r="D4" s="246" t="s">
        <v>42</v>
      </c>
      <c r="E4" s="262"/>
      <c r="F4" s="123"/>
      <c r="G4" s="123" t="s">
        <v>40</v>
      </c>
      <c r="H4" s="138" t="s">
        <v>41</v>
      </c>
      <c r="I4" s="123" t="s">
        <v>42</v>
      </c>
      <c r="J4" s="115"/>
    </row>
    <row r="5" spans="1:10" ht="12.75">
      <c r="A5" s="245">
        <f>+A6-1</f>
        <v>2005</v>
      </c>
      <c r="B5" s="251">
        <f>'[1]I-43'!$B5</f>
        <v>11243.560000000001</v>
      </c>
      <c r="C5" s="252">
        <f>'[1]I-43'!$C5</f>
        <v>11250</v>
      </c>
      <c r="D5" s="253">
        <f aca="true" t="shared" si="0" ref="D5:D10">ROUND(AVERAGE(B5:C5),0)</f>
        <v>11247</v>
      </c>
      <c r="E5" s="262"/>
      <c r="F5" s="129">
        <f>+F6-1</f>
        <v>2005</v>
      </c>
      <c r="G5" s="209">
        <f aca="true" t="shared" si="1" ref="G5:G10">+B5</f>
        <v>11243.560000000001</v>
      </c>
      <c r="H5" s="153">
        <f aca="true" t="shared" si="2" ref="H5:H10">+C5</f>
        <v>11250</v>
      </c>
      <c r="I5" s="209">
        <f aca="true" t="shared" si="3" ref="I5:I10">+D5</f>
        <v>11247</v>
      </c>
      <c r="J5" s="115"/>
    </row>
    <row r="6" spans="1:10" ht="12.75">
      <c r="A6" s="245">
        <f>+A7-1</f>
        <v>2006</v>
      </c>
      <c r="B6" s="251">
        <f>'[1]I-43'!$B6</f>
        <v>12985.383040000002</v>
      </c>
      <c r="C6" s="252">
        <f>'[1]I-43'!$C6</f>
        <v>12738</v>
      </c>
      <c r="D6" s="253">
        <f t="shared" si="0"/>
        <v>12862</v>
      </c>
      <c r="E6" s="262"/>
      <c r="F6" s="129">
        <f>+F7-1</f>
        <v>2006</v>
      </c>
      <c r="G6" s="209">
        <f t="shared" si="1"/>
        <v>12985.383040000002</v>
      </c>
      <c r="H6" s="153">
        <f t="shared" si="2"/>
        <v>12738</v>
      </c>
      <c r="I6" s="209">
        <f t="shared" si="3"/>
        <v>12862</v>
      </c>
      <c r="J6" s="115"/>
    </row>
    <row r="7" spans="1:10" ht="12.75">
      <c r="A7" s="245">
        <f>+A8-1</f>
        <v>2007</v>
      </c>
      <c r="B7" s="251">
        <f>'[1]I-43'!$B7</f>
        <v>15215.197085200003</v>
      </c>
      <c r="C7" s="252">
        <f>'[1]I-43'!$C7</f>
        <v>14471</v>
      </c>
      <c r="D7" s="253">
        <f t="shared" si="0"/>
        <v>14843</v>
      </c>
      <c r="E7" s="262"/>
      <c r="F7" s="129">
        <f>+F8-1</f>
        <v>2007</v>
      </c>
      <c r="G7" s="209">
        <f t="shared" si="1"/>
        <v>15215.197085200003</v>
      </c>
      <c r="H7" s="153">
        <f t="shared" si="2"/>
        <v>14471</v>
      </c>
      <c r="I7" s="209">
        <f t="shared" si="3"/>
        <v>14843</v>
      </c>
      <c r="J7" s="115"/>
    </row>
    <row r="8" spans="1:10" ht="12.75">
      <c r="A8" s="245">
        <f>+A9-1</f>
        <v>2008</v>
      </c>
      <c r="B8" s="251">
        <f>'[1]I-43'!$B8</f>
        <v>17587.812758720404</v>
      </c>
      <c r="C8" s="252">
        <f>'[1]I-43'!$C8</f>
        <v>16308</v>
      </c>
      <c r="D8" s="253">
        <f t="shared" si="0"/>
        <v>16948</v>
      </c>
      <c r="E8" s="262"/>
      <c r="F8" s="129">
        <f>+F9-1</f>
        <v>2008</v>
      </c>
      <c r="G8" s="209">
        <f t="shared" si="1"/>
        <v>17587.812758720404</v>
      </c>
      <c r="H8" s="153">
        <f t="shared" si="2"/>
        <v>16308</v>
      </c>
      <c r="I8" s="209">
        <f t="shared" si="3"/>
        <v>16948</v>
      </c>
      <c r="J8" s="115"/>
    </row>
    <row r="9" spans="1:10" ht="12.75">
      <c r="A9" s="245">
        <f>+A10-1</f>
        <v>2009</v>
      </c>
      <c r="B9" s="251">
        <f>'[1]I-43'!$B9</f>
        <v>19109.09831588504</v>
      </c>
      <c r="C9" s="252">
        <f>'[1]I-43'!$C9</f>
        <v>17539</v>
      </c>
      <c r="D9" s="253">
        <f t="shared" si="0"/>
        <v>18324</v>
      </c>
      <c r="E9" s="262"/>
      <c r="F9" s="129">
        <f>+F10-1</f>
        <v>2009</v>
      </c>
      <c r="G9" s="209">
        <f t="shared" si="1"/>
        <v>19109.09831588504</v>
      </c>
      <c r="H9" s="153">
        <f t="shared" si="2"/>
        <v>17539</v>
      </c>
      <c r="I9" s="209">
        <f t="shared" si="3"/>
        <v>18324</v>
      </c>
      <c r="J9" s="115"/>
    </row>
    <row r="10" spans="1:10" ht="12.75">
      <c r="A10" s="247">
        <f>latest_year</f>
        <v>2010</v>
      </c>
      <c r="B10" s="251">
        <f>'[1]I-43'!$B$10</f>
        <v>21434.6201624906</v>
      </c>
      <c r="C10" s="252">
        <f>'[1]I-43'!$C$10</f>
        <v>20119</v>
      </c>
      <c r="D10" s="254">
        <f t="shared" si="0"/>
        <v>20777</v>
      </c>
      <c r="E10" s="262"/>
      <c r="F10" s="109">
        <f>+A10</f>
        <v>2010</v>
      </c>
      <c r="G10" s="210">
        <f t="shared" si="1"/>
        <v>21434.6201624906</v>
      </c>
      <c r="H10" s="153">
        <f t="shared" si="2"/>
        <v>20119</v>
      </c>
      <c r="I10" s="210">
        <f t="shared" si="3"/>
        <v>20777</v>
      </c>
      <c r="J10" s="115"/>
    </row>
    <row r="11" spans="1:10" ht="12.75">
      <c r="A11" s="241"/>
      <c r="B11" s="255"/>
      <c r="C11" s="256"/>
      <c r="D11" s="257"/>
      <c r="E11" s="262"/>
      <c r="F11" s="123"/>
      <c r="G11" s="147"/>
      <c r="H11" s="148"/>
      <c r="I11" s="149"/>
      <c r="J11" s="115"/>
    </row>
    <row r="12" spans="1:10" ht="12.75">
      <c r="A12" s="247" t="s">
        <v>3</v>
      </c>
      <c r="B12" s="258">
        <f>SUM(B5:B11)</f>
        <v>97575.67136229605</v>
      </c>
      <c r="C12" s="259">
        <f>SUM(C5:C11)</f>
        <v>92425</v>
      </c>
      <c r="D12" s="260">
        <f>SUM(D5:D11)</f>
        <v>95001</v>
      </c>
      <c r="E12" s="262"/>
      <c r="F12" s="109" t="s">
        <v>3</v>
      </c>
      <c r="G12" s="238">
        <f>SUM(G5:G11)</f>
        <v>97575.67136229605</v>
      </c>
      <c r="H12" s="157">
        <f>SUM(H5:H11)</f>
        <v>92425</v>
      </c>
      <c r="I12" s="158">
        <f>SUM(I5:I11)</f>
        <v>95001</v>
      </c>
      <c r="J12" s="115"/>
    </row>
    <row r="13" spans="1:10" ht="6.75" customHeight="1">
      <c r="A13" s="261"/>
      <c r="B13" s="261"/>
      <c r="C13" s="261"/>
      <c r="D13" s="261"/>
      <c r="E13" s="262"/>
      <c r="F13" s="115"/>
      <c r="G13" s="115"/>
      <c r="H13" s="115"/>
      <c r="I13" s="115"/>
      <c r="J13" s="115"/>
    </row>
    <row r="14" spans="1:10" ht="12.75">
      <c r="A14" s="261"/>
      <c r="B14" s="261"/>
      <c r="C14" s="261"/>
      <c r="D14" s="261"/>
      <c r="E14" s="262"/>
      <c r="F14" s="115"/>
      <c r="G14" s="115"/>
      <c r="H14" s="115"/>
      <c r="I14" s="115"/>
      <c r="J14" s="115"/>
    </row>
    <row r="15" spans="1:4" ht="12.75">
      <c r="A15" s="261"/>
      <c r="B15" s="261"/>
      <c r="C15" s="261"/>
      <c r="D15" s="261"/>
    </row>
    <row r="16" spans="1:4" ht="12.75">
      <c r="A16" s="261"/>
      <c r="B16" s="261"/>
      <c r="C16" s="261"/>
      <c r="D16" s="261"/>
    </row>
    <row r="17" spans="1:4" ht="12.75">
      <c r="A17" s="261"/>
      <c r="B17" s="261"/>
      <c r="C17" s="261"/>
      <c r="D17" s="261"/>
    </row>
    <row r="18" spans="1:4" ht="12.75">
      <c r="A18" s="261"/>
      <c r="B18" s="261"/>
      <c r="C18" s="261"/>
      <c r="D18" s="261"/>
    </row>
    <row r="19" spans="1:4" ht="12.75">
      <c r="A19" s="261"/>
      <c r="B19" s="261"/>
      <c r="C19" s="261"/>
      <c r="D19" s="261"/>
    </row>
    <row r="20" spans="1:4" ht="12.75">
      <c r="A20" s="261"/>
      <c r="B20" s="261"/>
      <c r="C20" s="261"/>
      <c r="D20" s="261"/>
    </row>
    <row r="21" spans="1:4" ht="12.75">
      <c r="A21" s="261"/>
      <c r="B21" s="261"/>
      <c r="C21" s="261"/>
      <c r="D21" s="261"/>
    </row>
    <row r="22" spans="1:4" ht="12.75">
      <c r="A22" s="261"/>
      <c r="B22" s="261"/>
      <c r="C22" s="261"/>
      <c r="D22" s="261"/>
    </row>
    <row r="23" spans="1:4" ht="12.75">
      <c r="A23" s="261"/>
      <c r="B23" s="261"/>
      <c r="C23" s="261"/>
      <c r="D23" s="261"/>
    </row>
    <row r="25" ht="12.75">
      <c r="A25" s="240" t="s">
        <v>240</v>
      </c>
    </row>
    <row r="27" ht="12.75">
      <c r="A27" s="240" t="s">
        <v>245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28125" style="8" customWidth="1"/>
    <col min="2" max="2" width="12.7109375" style="9" customWidth="1"/>
    <col min="3" max="5" width="11.28125" style="7" customWidth="1"/>
    <col min="6" max="8" width="9.8515625" style="7" customWidth="1"/>
    <col min="9" max="16384" width="9.140625" style="7" customWidth="1"/>
  </cols>
  <sheetData>
    <row r="1" spans="1:13" ht="15">
      <c r="A1" s="263"/>
      <c r="B1" s="264"/>
      <c r="C1" s="265" t="s">
        <v>53</v>
      </c>
      <c r="D1" s="266"/>
      <c r="E1" s="267"/>
      <c r="F1" s="265" t="s">
        <v>54</v>
      </c>
      <c r="G1" s="266"/>
      <c r="H1" s="267"/>
      <c r="I1" s="115"/>
      <c r="J1" s="115"/>
      <c r="K1" s="115"/>
      <c r="L1" s="115"/>
      <c r="M1" s="115"/>
    </row>
    <row r="2" spans="1:13" ht="15">
      <c r="A2" s="268" t="s">
        <v>1</v>
      </c>
      <c r="B2" s="269" t="s">
        <v>55</v>
      </c>
      <c r="C2" s="270" t="s">
        <v>56</v>
      </c>
      <c r="D2" s="271"/>
      <c r="E2" s="272"/>
      <c r="F2" s="273" t="s">
        <v>56</v>
      </c>
      <c r="G2" s="274"/>
      <c r="H2" s="275"/>
      <c r="I2" s="115"/>
      <c r="J2" s="115"/>
      <c r="K2" s="115"/>
      <c r="L2" s="115"/>
      <c r="M2" s="115"/>
    </row>
    <row r="3" spans="1:13" ht="15">
      <c r="A3" s="276" t="s">
        <v>4</v>
      </c>
      <c r="B3" s="277" t="s">
        <v>57</v>
      </c>
      <c r="C3" s="278" t="s">
        <v>58</v>
      </c>
      <c r="D3" s="278" t="s">
        <v>59</v>
      </c>
      <c r="E3" s="278" t="s">
        <v>19</v>
      </c>
      <c r="F3" s="278" t="s">
        <v>58</v>
      </c>
      <c r="G3" s="278" t="s">
        <v>59</v>
      </c>
      <c r="H3" s="278" t="s">
        <v>19</v>
      </c>
      <c r="I3" s="115"/>
      <c r="J3" s="115"/>
      <c r="K3" s="115"/>
      <c r="L3" s="115"/>
      <c r="M3" s="115"/>
    </row>
    <row r="4" spans="1:13" ht="15">
      <c r="A4" s="263"/>
      <c r="B4" s="264"/>
      <c r="C4" s="279"/>
      <c r="D4" s="280"/>
      <c r="E4" s="281"/>
      <c r="F4" s="279"/>
      <c r="G4" s="280"/>
      <c r="H4" s="281"/>
      <c r="I4" s="115"/>
      <c r="J4" s="115" t="s">
        <v>43</v>
      </c>
      <c r="K4" s="115" t="s">
        <v>60</v>
      </c>
      <c r="L4" s="115" t="s">
        <v>61</v>
      </c>
      <c r="M4" s="115" t="s">
        <v>19</v>
      </c>
    </row>
    <row r="5" spans="1:13" ht="15">
      <c r="A5" s="268">
        <f>+A6-1</f>
        <v>2005</v>
      </c>
      <c r="B5" s="282">
        <v>18168</v>
      </c>
      <c r="C5" s="283">
        <f>+'Recall LDM Differences'!B5</f>
        <v>11243.560000000001</v>
      </c>
      <c r="D5" s="284">
        <f>+'Recall LDM Differences'!C5</f>
        <v>11250</v>
      </c>
      <c r="E5" s="285">
        <f>+'Recall LDM Differences'!D5</f>
        <v>11247</v>
      </c>
      <c r="F5" s="286">
        <f aca="true" t="shared" si="0" ref="F5:H10">C5/$B5</f>
        <v>0.6188661382650815</v>
      </c>
      <c r="G5" s="287">
        <f t="shared" si="0"/>
        <v>0.619220607661823</v>
      </c>
      <c r="H5" s="288">
        <f t="shared" si="0"/>
        <v>0.6190554821664465</v>
      </c>
      <c r="I5" s="115"/>
      <c r="J5" s="115">
        <f aca="true" t="shared" si="1" ref="J5:J10">A5</f>
        <v>2005</v>
      </c>
      <c r="K5" s="236">
        <f aca="true" t="shared" si="2" ref="K5:M10">F5</f>
        <v>0.6188661382650815</v>
      </c>
      <c r="L5" s="236">
        <f t="shared" si="2"/>
        <v>0.619220607661823</v>
      </c>
      <c r="M5" s="236">
        <f t="shared" si="2"/>
        <v>0.6190554821664465</v>
      </c>
    </row>
    <row r="6" spans="1:13" ht="15">
      <c r="A6" s="268">
        <f>+A7-1</f>
        <v>2006</v>
      </c>
      <c r="B6" s="282">
        <v>21995</v>
      </c>
      <c r="C6" s="283">
        <f>+'Recall LDM Differences'!B6</f>
        <v>12985.383040000002</v>
      </c>
      <c r="D6" s="284">
        <f>+'Recall LDM Differences'!C6</f>
        <v>12738</v>
      </c>
      <c r="E6" s="285">
        <f>+'Recall LDM Differences'!D6</f>
        <v>12862</v>
      </c>
      <c r="F6" s="286">
        <f t="shared" si="0"/>
        <v>0.5903788606501479</v>
      </c>
      <c r="G6" s="287">
        <f t="shared" si="0"/>
        <v>0.5791316208229143</v>
      </c>
      <c r="H6" s="288">
        <f t="shared" si="0"/>
        <v>0.5847692657422141</v>
      </c>
      <c r="I6" s="115"/>
      <c r="J6" s="115">
        <f t="shared" si="1"/>
        <v>2006</v>
      </c>
      <c r="K6" s="236">
        <f t="shared" si="2"/>
        <v>0.5903788606501479</v>
      </c>
      <c r="L6" s="236">
        <f t="shared" si="2"/>
        <v>0.5791316208229143</v>
      </c>
      <c r="M6" s="236">
        <f t="shared" si="2"/>
        <v>0.5847692657422141</v>
      </c>
    </row>
    <row r="7" spans="1:13" ht="15">
      <c r="A7" s="268">
        <f>+A8-1</f>
        <v>2007</v>
      </c>
      <c r="B7" s="282">
        <v>24173</v>
      </c>
      <c r="C7" s="283">
        <f>+'Recall LDM Differences'!B7</f>
        <v>15215.197085200003</v>
      </c>
      <c r="D7" s="284">
        <f>+'Recall LDM Differences'!C7</f>
        <v>14471</v>
      </c>
      <c r="E7" s="285">
        <f>+'Recall LDM Differences'!D7</f>
        <v>14843</v>
      </c>
      <c r="F7" s="286">
        <f t="shared" si="0"/>
        <v>0.6294294082323254</v>
      </c>
      <c r="G7" s="287">
        <f t="shared" si="0"/>
        <v>0.5986431142183428</v>
      </c>
      <c r="H7" s="288">
        <f t="shared" si="0"/>
        <v>0.6140321846688455</v>
      </c>
      <c r="I7" s="115"/>
      <c r="J7" s="115">
        <f t="shared" si="1"/>
        <v>2007</v>
      </c>
      <c r="K7" s="236">
        <f t="shared" si="2"/>
        <v>0.6294294082323254</v>
      </c>
      <c r="L7" s="236">
        <f t="shared" si="2"/>
        <v>0.5986431142183428</v>
      </c>
      <c r="M7" s="236">
        <f t="shared" si="2"/>
        <v>0.6140321846688455</v>
      </c>
    </row>
    <row r="8" spans="1:13" ht="15">
      <c r="A8" s="268">
        <f>+A9-1</f>
        <v>2008</v>
      </c>
      <c r="B8" s="282">
        <v>25534</v>
      </c>
      <c r="C8" s="283">
        <f>+'Recall LDM Differences'!B8</f>
        <v>17587.812758720404</v>
      </c>
      <c r="D8" s="284">
        <f>+'Recall LDM Differences'!C8</f>
        <v>16308</v>
      </c>
      <c r="E8" s="285">
        <f>+'Recall LDM Differences'!D8</f>
        <v>16948</v>
      </c>
      <c r="F8" s="286">
        <f t="shared" si="0"/>
        <v>0.6887997477371506</v>
      </c>
      <c r="G8" s="287">
        <f t="shared" si="0"/>
        <v>0.6386778413096263</v>
      </c>
      <c r="H8" s="288">
        <f t="shared" si="0"/>
        <v>0.663742461032349</v>
      </c>
      <c r="I8" s="115"/>
      <c r="J8" s="115">
        <f t="shared" si="1"/>
        <v>2008</v>
      </c>
      <c r="K8" s="236">
        <f t="shared" si="2"/>
        <v>0.6887997477371506</v>
      </c>
      <c r="L8" s="236">
        <f t="shared" si="2"/>
        <v>0.6386778413096263</v>
      </c>
      <c r="M8" s="236">
        <f t="shared" si="2"/>
        <v>0.663742461032349</v>
      </c>
    </row>
    <row r="9" spans="1:13" ht="15">
      <c r="A9" s="268">
        <f>+A10-1</f>
        <v>2009</v>
      </c>
      <c r="B9" s="282">
        <v>31341</v>
      </c>
      <c r="C9" s="283">
        <f>+'Recall LDM Differences'!B9</f>
        <v>19109.09831588504</v>
      </c>
      <c r="D9" s="284">
        <f>+'Recall LDM Differences'!C9</f>
        <v>17539</v>
      </c>
      <c r="E9" s="285">
        <f>+'Recall LDM Differences'!D9</f>
        <v>18324</v>
      </c>
      <c r="F9" s="286">
        <f t="shared" si="0"/>
        <v>0.6097156541235136</v>
      </c>
      <c r="G9" s="287">
        <f t="shared" si="0"/>
        <v>0.5596183912446955</v>
      </c>
      <c r="H9" s="288">
        <f t="shared" si="0"/>
        <v>0.5846654541973773</v>
      </c>
      <c r="I9" s="115"/>
      <c r="J9" s="115">
        <f t="shared" si="1"/>
        <v>2009</v>
      </c>
      <c r="K9" s="236">
        <f t="shared" si="2"/>
        <v>0.6097156541235136</v>
      </c>
      <c r="L9" s="236">
        <f t="shared" si="2"/>
        <v>0.5596183912446955</v>
      </c>
      <c r="M9" s="236">
        <f t="shared" si="2"/>
        <v>0.5846654541973773</v>
      </c>
    </row>
    <row r="10" spans="1:13" ht="15">
      <c r="A10" s="268">
        <f>latest_year</f>
        <v>2010</v>
      </c>
      <c r="B10" s="282">
        <v>38469</v>
      </c>
      <c r="C10" s="283">
        <f>+'Recall LDM Differences'!B10</f>
        <v>21434.6201624906</v>
      </c>
      <c r="D10" s="284">
        <f>+'Recall LDM Differences'!C10</f>
        <v>20119</v>
      </c>
      <c r="E10" s="285">
        <f>+'Recall LDM Differences'!D10</f>
        <v>20777</v>
      </c>
      <c r="F10" s="286">
        <f t="shared" si="0"/>
        <v>0.5571920289711352</v>
      </c>
      <c r="G10" s="287">
        <f t="shared" si="0"/>
        <v>0.5229925394473472</v>
      </c>
      <c r="H10" s="288">
        <f t="shared" si="0"/>
        <v>0.540097221139099</v>
      </c>
      <c r="I10" s="115"/>
      <c r="J10" s="115">
        <f t="shared" si="1"/>
        <v>2010</v>
      </c>
      <c r="K10" s="236">
        <f t="shared" si="2"/>
        <v>0.5571920289711352</v>
      </c>
      <c r="L10" s="236">
        <f t="shared" si="2"/>
        <v>0.5229925394473472</v>
      </c>
      <c r="M10" s="236">
        <f t="shared" si="2"/>
        <v>0.540097221139099</v>
      </c>
    </row>
    <row r="11" spans="1:13" ht="15">
      <c r="A11" s="268"/>
      <c r="B11" s="282"/>
      <c r="C11" s="289"/>
      <c r="D11" s="290"/>
      <c r="E11" s="291"/>
      <c r="F11" s="289"/>
      <c r="G11" s="290"/>
      <c r="H11" s="291"/>
      <c r="I11" s="115"/>
      <c r="J11" s="115"/>
      <c r="K11" s="115"/>
      <c r="L11" s="115"/>
      <c r="M11" s="115"/>
    </row>
    <row r="12" spans="1:13" ht="15">
      <c r="A12" s="276" t="s">
        <v>3</v>
      </c>
      <c r="B12" s="292">
        <f>SUM(B5:B11)</f>
        <v>159680</v>
      </c>
      <c r="C12" s="293">
        <f>SUM(C5:C11)</f>
        <v>97575.67136229605</v>
      </c>
      <c r="D12" s="294">
        <f>SUM(D5:D11)</f>
        <v>92425</v>
      </c>
      <c r="E12" s="295">
        <f>SUM(E5:E11)</f>
        <v>95001</v>
      </c>
      <c r="F12" s="296">
        <f>C12/$B12</f>
        <v>0.6110700861867238</v>
      </c>
      <c r="G12" s="297">
        <f>D12/$B12</f>
        <v>0.5788138777555111</v>
      </c>
      <c r="H12" s="298">
        <f>E12/$B12</f>
        <v>0.5949461422845691</v>
      </c>
      <c r="I12" s="115"/>
      <c r="J12" s="115"/>
      <c r="K12" s="115"/>
      <c r="L12" s="115"/>
      <c r="M12" s="115"/>
    </row>
    <row r="13" spans="1:13" ht="15">
      <c r="A13" s="11"/>
      <c r="B13" s="12"/>
      <c r="C13" s="13"/>
      <c r="D13" s="13"/>
      <c r="E13" s="13"/>
      <c r="F13" s="13"/>
      <c r="G13" s="13"/>
      <c r="H13" s="13"/>
      <c r="I13" s="115"/>
      <c r="J13" s="115"/>
      <c r="K13" s="115"/>
      <c r="L13" s="115"/>
      <c r="M13" s="115"/>
    </row>
    <row r="14" spans="1:13" ht="15">
      <c r="A14" s="239" t="s">
        <v>239</v>
      </c>
      <c r="B14" s="12"/>
      <c r="C14" s="13"/>
      <c r="D14" s="13"/>
      <c r="E14" s="13"/>
      <c r="F14" s="13"/>
      <c r="G14" s="13"/>
      <c r="H14" s="13"/>
      <c r="I14" s="115"/>
      <c r="J14" s="115"/>
      <c r="K14" s="115"/>
      <c r="L14" s="115"/>
      <c r="M14" s="115"/>
    </row>
    <row r="15" spans="1:13" ht="15">
      <c r="A15" s="11"/>
      <c r="B15" s="12"/>
      <c r="C15" s="13"/>
      <c r="D15" s="13"/>
      <c r="E15" s="13"/>
      <c r="F15" s="13"/>
      <c r="G15" s="13"/>
      <c r="H15" s="13"/>
      <c r="I15" s="115"/>
      <c r="J15" s="115"/>
      <c r="K15" s="115"/>
      <c r="L15" s="115"/>
      <c r="M15" s="115"/>
    </row>
    <row r="16" spans="1:13" ht="15">
      <c r="A16" s="11"/>
      <c r="B16" s="12"/>
      <c r="C16" s="13"/>
      <c r="D16" s="13"/>
      <c r="E16" s="13"/>
      <c r="F16" s="13"/>
      <c r="G16" s="13"/>
      <c r="H16" s="13"/>
      <c r="I16" s="115"/>
      <c r="J16" s="115"/>
      <c r="K16" s="115"/>
      <c r="L16" s="115"/>
      <c r="M16" s="115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6.140625" style="10" customWidth="1"/>
    <col min="3" max="5" width="5.421875" style="10" customWidth="1"/>
    <col min="6" max="22" width="4.7109375" style="10" customWidth="1"/>
    <col min="23" max="23" width="25.7109375" style="10" customWidth="1"/>
    <col min="24" max="24" width="9.140625" style="10" customWidth="1"/>
    <col min="25" max="25" width="6.28125" style="10" customWidth="1"/>
    <col min="26" max="39" width="4.7109375" style="10" customWidth="1"/>
    <col min="40" max="16384" width="9.140625" style="10" customWidth="1"/>
  </cols>
  <sheetData>
    <row r="4" spans="2:26" ht="15.75">
      <c r="B4" s="14" t="s">
        <v>85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X4" s="10" t="s">
        <v>86</v>
      </c>
      <c r="Y4" s="10" t="s">
        <v>44</v>
      </c>
      <c r="Z4" s="10" t="s">
        <v>3</v>
      </c>
    </row>
    <row r="5" ht="13.5" thickBot="1">
      <c r="V5" s="10" t="s">
        <v>87</v>
      </c>
    </row>
    <row r="6" spans="2:26" ht="13.5" thickTop="1">
      <c r="B6" s="10" t="s">
        <v>88</v>
      </c>
      <c r="C6" s="17" t="s">
        <v>89</v>
      </c>
      <c r="D6" s="18"/>
      <c r="E6" s="18"/>
      <c r="F6" s="18"/>
      <c r="G6" s="18"/>
      <c r="H6" s="19"/>
      <c r="I6" s="20" t="s">
        <v>44</v>
      </c>
      <c r="J6" s="21"/>
      <c r="K6" s="21"/>
      <c r="L6" s="21"/>
      <c r="M6" s="21"/>
      <c r="N6" s="21"/>
      <c r="O6" s="21"/>
      <c r="P6" s="21"/>
      <c r="Q6" s="21"/>
      <c r="R6" s="22"/>
      <c r="W6" s="10" t="s">
        <v>90</v>
      </c>
      <c r="X6" s="10">
        <v>6</v>
      </c>
      <c r="Y6" s="10">
        <v>10</v>
      </c>
      <c r="Z6" s="10">
        <f>+Y6+X6</f>
        <v>16</v>
      </c>
    </row>
    <row r="7" spans="2:26" ht="13.5" thickBot="1">
      <c r="B7" s="10" t="s">
        <v>91</v>
      </c>
      <c r="C7" s="23" t="s">
        <v>92</v>
      </c>
      <c r="D7" s="24"/>
      <c r="E7" s="24"/>
      <c r="F7" s="24"/>
      <c r="G7" s="24"/>
      <c r="H7" s="25"/>
      <c r="I7" s="26" t="s">
        <v>93</v>
      </c>
      <c r="J7" s="27"/>
      <c r="K7" s="27"/>
      <c r="L7" s="27"/>
      <c r="M7" s="27"/>
      <c r="N7" s="27"/>
      <c r="O7" s="27"/>
      <c r="P7" s="27"/>
      <c r="Q7" s="27"/>
      <c r="R7" s="28"/>
      <c r="W7" s="10" t="s">
        <v>94</v>
      </c>
      <c r="X7" s="10">
        <v>6</v>
      </c>
      <c r="Y7" s="10">
        <v>10</v>
      </c>
      <c r="Z7" s="10">
        <f>+Y7+X7</f>
        <v>16</v>
      </c>
    </row>
    <row r="8" spans="23:26" ht="13.5" thickTop="1">
      <c r="W8" s="10" t="s">
        <v>73</v>
      </c>
      <c r="X8" s="10">
        <v>6</v>
      </c>
      <c r="Y8" s="10">
        <v>10</v>
      </c>
      <c r="Z8" s="10">
        <f>+Y8+X8</f>
        <v>16</v>
      </c>
    </row>
    <row r="9" ht="13.5" thickBot="1"/>
    <row r="10" spans="2:23" ht="13.5" thickTop="1">
      <c r="B10" s="10" t="s">
        <v>95</v>
      </c>
      <c r="C10" s="17" t="s">
        <v>89</v>
      </c>
      <c r="D10" s="18"/>
      <c r="E10" s="18"/>
      <c r="F10" s="18"/>
      <c r="G10" s="18"/>
      <c r="H10" s="19"/>
      <c r="I10" s="20" t="s">
        <v>44</v>
      </c>
      <c r="J10" s="21"/>
      <c r="K10" s="21"/>
      <c r="L10" s="21"/>
      <c r="M10" s="21"/>
      <c r="N10" s="21"/>
      <c r="O10" s="21"/>
      <c r="P10" s="21"/>
      <c r="Q10" s="21"/>
      <c r="R10" s="22"/>
      <c r="V10" s="10" t="s">
        <v>96</v>
      </c>
    </row>
    <row r="11" spans="2:26" ht="13.5" thickBot="1">
      <c r="B11" s="10" t="s">
        <v>97</v>
      </c>
      <c r="C11" s="23" t="s">
        <v>92</v>
      </c>
      <c r="D11" s="24"/>
      <c r="E11" s="24"/>
      <c r="F11" s="24"/>
      <c r="G11" s="24"/>
      <c r="H11" s="25"/>
      <c r="I11" s="26" t="s">
        <v>93</v>
      </c>
      <c r="J11" s="27"/>
      <c r="K11" s="27"/>
      <c r="L11" s="27"/>
      <c r="M11" s="27"/>
      <c r="N11" s="27"/>
      <c r="O11" s="27"/>
      <c r="P11" s="27"/>
      <c r="Q11" s="27"/>
      <c r="R11" s="28"/>
      <c r="W11" s="10" t="s">
        <v>90</v>
      </c>
      <c r="X11" s="10">
        <v>12</v>
      </c>
      <c r="Y11" s="10">
        <v>4</v>
      </c>
      <c r="Z11" s="10">
        <f>+Y11+X11</f>
        <v>16</v>
      </c>
    </row>
    <row r="12" spans="23:26" ht="13.5" thickTop="1">
      <c r="W12" s="10" t="s">
        <v>94</v>
      </c>
      <c r="X12" s="10">
        <v>12</v>
      </c>
      <c r="Y12" s="10">
        <v>10</v>
      </c>
      <c r="Z12" s="10">
        <f>+Y12+X12</f>
        <v>22</v>
      </c>
    </row>
    <row r="13" spans="23:26" ht="13.5" thickBot="1">
      <c r="W13" s="10" t="s">
        <v>73</v>
      </c>
      <c r="X13" s="10">
        <v>12</v>
      </c>
      <c r="Y13" s="10">
        <v>20</v>
      </c>
      <c r="Z13" s="10">
        <f>+Y13+X13</f>
        <v>32</v>
      </c>
    </row>
    <row r="14" spans="2:23" ht="13.5" thickTop="1">
      <c r="B14" s="10" t="s">
        <v>98</v>
      </c>
      <c r="C14" s="17" t="s">
        <v>89</v>
      </c>
      <c r="D14" s="18"/>
      <c r="E14" s="18"/>
      <c r="F14" s="18"/>
      <c r="G14" s="18"/>
      <c r="H14" s="19"/>
      <c r="I14" s="20" t="s">
        <v>44</v>
      </c>
      <c r="J14" s="21"/>
      <c r="K14" s="21"/>
      <c r="L14" s="21"/>
      <c r="M14" s="21"/>
      <c r="N14" s="21"/>
      <c r="O14" s="21"/>
      <c r="P14" s="21"/>
      <c r="Q14" s="21"/>
      <c r="R14" s="22"/>
    </row>
    <row r="15" spans="2:23" ht="13.5" thickBot="1">
      <c r="B15" s="10" t="s">
        <v>20</v>
      </c>
      <c r="C15" s="23" t="s">
        <v>92</v>
      </c>
      <c r="D15" s="24"/>
      <c r="E15" s="24"/>
      <c r="F15" s="24"/>
      <c r="G15" s="24"/>
      <c r="H15" s="25"/>
      <c r="I15" s="26" t="s">
        <v>93</v>
      </c>
      <c r="J15" s="27"/>
      <c r="K15" s="27"/>
      <c r="L15" s="27"/>
      <c r="M15" s="27"/>
      <c r="N15" s="27"/>
      <c r="O15" s="27"/>
      <c r="P15" s="27"/>
      <c r="Q15" s="27"/>
      <c r="R15" s="28"/>
      <c r="V15" s="10" t="s">
        <v>99</v>
      </c>
    </row>
    <row r="16" spans="23:26" ht="13.5" thickTop="1">
      <c r="W16" s="10" t="s">
        <v>90</v>
      </c>
      <c r="X16" s="10">
        <v>3</v>
      </c>
      <c r="Y16" s="10">
        <v>13</v>
      </c>
      <c r="Z16" s="10">
        <f>+Y16+X16</f>
        <v>16</v>
      </c>
    </row>
    <row r="17" spans="23:26" ht="12.75">
      <c r="W17" s="10" t="s">
        <v>94</v>
      </c>
      <c r="X17" s="10">
        <v>3</v>
      </c>
      <c r="Y17" s="10">
        <v>10</v>
      </c>
      <c r="Z17" s="10">
        <f>+Y17+X17</f>
        <v>13</v>
      </c>
    </row>
    <row r="18" spans="2:26" ht="15.75">
      <c r="B18" s="14" t="s">
        <v>100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W18" s="10" t="s">
        <v>73</v>
      </c>
      <c r="X18" s="10">
        <v>3</v>
      </c>
      <c r="Y18" s="10">
        <v>5</v>
      </c>
      <c r="Z18" s="10">
        <f>+Y18+X18</f>
        <v>8</v>
      </c>
    </row>
    <row r="19" ht="13.5" thickBot="1"/>
    <row r="20" spans="2:18" ht="13.5" thickTop="1">
      <c r="B20" s="10" t="s">
        <v>88</v>
      </c>
      <c r="C20" s="17" t="s">
        <v>89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 t="s">
        <v>44</v>
      </c>
      <c r="P20" s="21"/>
      <c r="Q20" s="21"/>
      <c r="R20" s="22"/>
    </row>
    <row r="21" spans="2:18" ht="13.5" thickBot="1">
      <c r="B21" s="10" t="s">
        <v>91</v>
      </c>
      <c r="C21" s="23" t="s">
        <v>101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 t="s">
        <v>102</v>
      </c>
      <c r="P21" s="27"/>
      <c r="Q21" s="27"/>
      <c r="R21" s="28"/>
    </row>
    <row r="22" spans="3:18" ht="13.5" thickTop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ht="13.5" thickBot="1"/>
    <row r="24" spans="2:24" ht="13.5" thickTop="1">
      <c r="B24" s="10" t="s">
        <v>95</v>
      </c>
      <c r="C24" s="17" t="s">
        <v>89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30"/>
      <c r="P24" s="31"/>
      <c r="Q24" s="31"/>
      <c r="R24" s="31"/>
      <c r="S24" s="31"/>
      <c r="T24" s="31"/>
      <c r="U24" s="31"/>
      <c r="V24" s="31"/>
      <c r="W24" s="31"/>
      <c r="X24" s="32"/>
    </row>
    <row r="25" spans="2:24" ht="13.5" thickBot="1">
      <c r="B25" s="10" t="s">
        <v>97</v>
      </c>
      <c r="C25" s="23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33"/>
      <c r="P25" s="34"/>
      <c r="Q25" s="34"/>
      <c r="R25" s="34"/>
      <c r="S25" s="34"/>
      <c r="T25" s="34"/>
      <c r="U25" s="34"/>
      <c r="V25" s="34"/>
      <c r="W25" s="34"/>
      <c r="X25" s="35"/>
    </row>
    <row r="26" spans="3:24" ht="13.5" thickTop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ht="13.5" thickBot="1"/>
    <row r="28" spans="2:34" ht="13.5" thickTop="1">
      <c r="B28" s="10" t="s">
        <v>98</v>
      </c>
      <c r="C28" s="17" t="s">
        <v>89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</row>
    <row r="29" spans="2:34" ht="13.5" thickBot="1">
      <c r="B29" s="10" t="s">
        <v>20</v>
      </c>
      <c r="C29" s="23" t="s">
        <v>101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3:38" ht="13.5" thickTop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3:34" ht="12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2:34" ht="15.75">
      <c r="B32" s="14" t="s">
        <v>103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ht="13.5" thickBot="1"/>
    <row r="34" spans="2:18" ht="13.5" thickTop="1">
      <c r="B34" s="10" t="s">
        <v>88</v>
      </c>
      <c r="C34" s="17" t="s">
        <v>89</v>
      </c>
      <c r="D34" s="18"/>
      <c r="E34" s="1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2:18" ht="13.5" thickBot="1">
      <c r="B35" s="10" t="s">
        <v>91</v>
      </c>
      <c r="C35" s="23" t="s">
        <v>104</v>
      </c>
      <c r="D35" s="24"/>
      <c r="E35" s="25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</row>
    <row r="36" spans="3:18" ht="13.5" thickTop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ht="13.5" thickBot="1"/>
    <row r="38" spans="2:16" ht="13.5" thickTop="1">
      <c r="B38" s="10" t="s">
        <v>95</v>
      </c>
      <c r="C38" s="17" t="s">
        <v>89</v>
      </c>
      <c r="D38" s="18"/>
      <c r="E38" s="1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13.5" thickBot="1">
      <c r="B39" s="10" t="s">
        <v>97</v>
      </c>
      <c r="C39" s="23" t="s">
        <v>104</v>
      </c>
      <c r="D39" s="24"/>
      <c r="E39" s="25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3:16" ht="13.5" thickTop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ht="13.5" thickBot="1"/>
    <row r="42" spans="2:11" ht="13.5" thickTop="1">
      <c r="B42" s="10" t="s">
        <v>98</v>
      </c>
      <c r="C42" s="17" t="s">
        <v>89</v>
      </c>
      <c r="D42" s="18"/>
      <c r="E42" s="19"/>
      <c r="F42" s="30"/>
      <c r="G42" s="31"/>
      <c r="H42" s="31"/>
      <c r="I42" s="31"/>
      <c r="J42" s="31"/>
      <c r="K42" s="32"/>
    </row>
    <row r="43" spans="2:11" ht="13.5" thickBot="1">
      <c r="B43" s="10" t="s">
        <v>20</v>
      </c>
      <c r="C43" s="23" t="s">
        <v>104</v>
      </c>
      <c r="D43" s="24"/>
      <c r="E43" s="25"/>
      <c r="F43" s="33"/>
      <c r="G43" s="34"/>
      <c r="H43" s="34"/>
      <c r="I43" s="34"/>
      <c r="J43" s="34"/>
      <c r="K43" s="35"/>
    </row>
    <row r="44" ht="13.5" thickTop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="75" zoomScaleNormal="75" zoomScalePageLayoutView="0" workbookViewId="0" topLeftCell="A1">
      <selection activeCell="AF15" sqref="AF15"/>
    </sheetView>
  </sheetViews>
  <sheetFormatPr defaultColWidth="9.140625" defaultRowHeight="12.75"/>
  <cols>
    <col min="1" max="1" width="3.57421875" style="7" customWidth="1"/>
    <col min="2" max="2" width="9.140625" style="7" customWidth="1"/>
    <col min="3" max="3" width="9.57421875" style="7" customWidth="1"/>
    <col min="4" max="7" width="10.28125" style="7" customWidth="1"/>
    <col min="8" max="8" width="3.00390625" style="7" customWidth="1"/>
    <col min="9" max="10" width="2.421875" style="7" customWidth="1"/>
    <col min="11" max="11" width="1.8515625" style="7" customWidth="1"/>
    <col min="12" max="21" width="9.140625" style="7" customWidth="1"/>
    <col min="22" max="30" width="1.7109375" style="7" customWidth="1"/>
    <col min="31" max="37" width="9.140625" style="7" customWidth="1"/>
    <col min="38" max="38" width="16.140625" style="7" customWidth="1"/>
    <col min="39" max="39" width="12.57421875" style="7" customWidth="1"/>
    <col min="40" max="16384" width="9.140625" style="7" customWidth="1"/>
  </cols>
  <sheetData>
    <row r="1" spans="1:35" ht="12.75">
      <c r="A1" s="115"/>
      <c r="B1" s="116"/>
      <c r="C1" s="117" t="s">
        <v>32</v>
      </c>
      <c r="D1" s="118"/>
      <c r="E1" s="118"/>
      <c r="F1" s="118"/>
      <c r="G1" s="118"/>
      <c r="H1" s="119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299"/>
      <c r="AF1" s="300" t="s">
        <v>0</v>
      </c>
      <c r="AG1" s="301"/>
      <c r="AH1" s="301"/>
      <c r="AI1" s="261"/>
    </row>
    <row r="2" spans="1:37" ht="12.75">
      <c r="A2" s="115"/>
      <c r="B2" s="120" t="s">
        <v>1</v>
      </c>
      <c r="C2" s="121" t="s">
        <v>2</v>
      </c>
      <c r="D2" s="122"/>
      <c r="E2" s="122"/>
      <c r="F2" s="122"/>
      <c r="G2" s="122"/>
      <c r="H2" s="107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99" t="s">
        <v>1</v>
      </c>
      <c r="AF2" s="302" t="s">
        <v>2</v>
      </c>
      <c r="AG2" s="303"/>
      <c r="AH2" s="303"/>
      <c r="AI2" s="261"/>
      <c r="AK2" s="240" t="s">
        <v>247</v>
      </c>
    </row>
    <row r="3" spans="1:37" ht="12.75">
      <c r="A3" s="115"/>
      <c r="B3" s="109" t="s">
        <v>4</v>
      </c>
      <c r="C3" s="110">
        <v>12</v>
      </c>
      <c r="D3" s="110">
        <v>24</v>
      </c>
      <c r="E3" s="110">
        <v>36</v>
      </c>
      <c r="F3" s="110">
        <v>48</v>
      </c>
      <c r="G3" s="110">
        <v>60</v>
      </c>
      <c r="H3" s="110">
        <v>72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247" t="s">
        <v>4</v>
      </c>
      <c r="AF3" s="304">
        <v>12</v>
      </c>
      <c r="AG3" s="304">
        <v>24</v>
      </c>
      <c r="AH3" s="304">
        <v>36</v>
      </c>
      <c r="AI3" s="261"/>
      <c r="AK3" s="240" t="s">
        <v>248</v>
      </c>
    </row>
    <row r="4" spans="1:35" ht="12.75">
      <c r="A4" s="115"/>
      <c r="B4" s="123">
        <f>+B5-1</f>
        <v>2005</v>
      </c>
      <c r="C4" s="124">
        <v>5557</v>
      </c>
      <c r="D4" s="125">
        <v>4176</v>
      </c>
      <c r="E4" s="125">
        <v>2936</v>
      </c>
      <c r="F4" s="125">
        <v>1987</v>
      </c>
      <c r="G4" s="125">
        <v>1245</v>
      </c>
      <c r="H4" s="126">
        <v>742</v>
      </c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241"/>
      <c r="AF4" s="249"/>
      <c r="AG4" s="250"/>
      <c r="AH4" s="250"/>
      <c r="AI4" s="261"/>
    </row>
    <row r="5" spans="1:35" ht="12.75">
      <c r="A5" s="115"/>
      <c r="B5" s="129">
        <f>+B6-1</f>
        <v>2006</v>
      </c>
      <c r="C5" s="130">
        <v>6328</v>
      </c>
      <c r="D5" s="131">
        <v>4664</v>
      </c>
      <c r="E5" s="131">
        <v>3200</v>
      </c>
      <c r="F5" s="131">
        <v>2051</v>
      </c>
      <c r="G5" s="131">
        <v>1189</v>
      </c>
      <c r="H5" s="13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245">
        <f>+AE6-1</f>
        <v>2005</v>
      </c>
      <c r="AF5" s="305">
        <v>3780</v>
      </c>
      <c r="AG5" s="306">
        <v>6671</v>
      </c>
      <c r="AH5" s="307">
        <v>8156</v>
      </c>
      <c r="AI5" s="261"/>
    </row>
    <row r="6" spans="1:35" ht="12.75">
      <c r="A6" s="115"/>
      <c r="B6" s="129">
        <f>+B7-1</f>
        <v>2007</v>
      </c>
      <c r="C6" s="130">
        <v>6974</v>
      </c>
      <c r="D6" s="131">
        <v>4968</v>
      </c>
      <c r="E6" s="131">
        <v>3251</v>
      </c>
      <c r="F6" s="131">
        <v>1955</v>
      </c>
      <c r="G6" s="131"/>
      <c r="H6" s="132"/>
      <c r="I6" s="262"/>
      <c r="J6" s="262"/>
      <c r="K6" s="262"/>
      <c r="L6" s="262"/>
      <c r="M6" s="455" t="s">
        <v>251</v>
      </c>
      <c r="N6" s="262"/>
      <c r="O6" s="262"/>
      <c r="P6" s="262"/>
      <c r="Q6" s="262"/>
      <c r="R6" s="262"/>
      <c r="S6" s="262"/>
      <c r="T6" s="262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245">
        <f>+AE7-1</f>
        <v>2006</v>
      </c>
      <c r="AF6" s="305">
        <v>4212</v>
      </c>
      <c r="AG6" s="307">
        <v>7541</v>
      </c>
      <c r="AH6" s="307"/>
      <c r="AI6" s="261"/>
    </row>
    <row r="7" spans="1:35" ht="12.75">
      <c r="A7" s="115"/>
      <c r="B7" s="129">
        <f>+B8-1</f>
        <v>2008</v>
      </c>
      <c r="C7" s="130">
        <v>7635</v>
      </c>
      <c r="D7" s="131">
        <v>5274</v>
      </c>
      <c r="E7" s="131">
        <v>3367</v>
      </c>
      <c r="F7" s="131"/>
      <c r="G7" s="131"/>
      <c r="H7" s="13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245">
        <f>+B17</f>
        <v>2007</v>
      </c>
      <c r="AF7" s="305">
        <v>4901</v>
      </c>
      <c r="AG7" s="307"/>
      <c r="AH7" s="307"/>
      <c r="AI7" s="261"/>
    </row>
    <row r="8" spans="1:30" ht="12.75">
      <c r="A8" s="115"/>
      <c r="B8" s="129">
        <f>+B9-1</f>
        <v>2009</v>
      </c>
      <c r="C8" s="130">
        <v>8376</v>
      </c>
      <c r="D8" s="131">
        <v>5604</v>
      </c>
      <c r="E8" s="131"/>
      <c r="F8" s="131"/>
      <c r="G8" s="131"/>
      <c r="H8" s="132"/>
      <c r="I8" s="262"/>
      <c r="J8" s="262"/>
      <c r="K8" s="262"/>
      <c r="L8" s="262"/>
      <c r="M8" s="456" t="s">
        <v>252</v>
      </c>
      <c r="N8" s="262"/>
      <c r="O8" s="262"/>
      <c r="P8" s="262"/>
      <c r="Q8" s="262"/>
      <c r="R8" s="262"/>
      <c r="S8" s="262"/>
      <c r="T8" s="262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12.75">
      <c r="A9" s="115"/>
      <c r="B9" s="109">
        <f>latest_year</f>
        <v>2010</v>
      </c>
      <c r="C9" s="133">
        <v>9599</v>
      </c>
      <c r="D9" s="134"/>
      <c r="E9" s="134"/>
      <c r="F9" s="134"/>
      <c r="G9" s="134"/>
      <c r="H9" s="135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12.75">
      <c r="A10" s="115"/>
      <c r="B10" s="115"/>
      <c r="C10" s="115"/>
      <c r="D10" s="115"/>
      <c r="E10" s="115"/>
      <c r="F10" s="115"/>
      <c r="G10" s="115"/>
      <c r="H10" s="115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40" ht="12.75">
      <c r="A12" s="115"/>
      <c r="B12" s="116"/>
      <c r="C12" s="117" t="s">
        <v>0</v>
      </c>
      <c r="D12" s="118"/>
      <c r="E12" s="118"/>
      <c r="F12" s="118"/>
      <c r="G12" s="118"/>
      <c r="H12" s="119"/>
      <c r="I12" s="115"/>
      <c r="J12" s="115"/>
      <c r="K12" s="115"/>
      <c r="L12" s="116"/>
      <c r="M12" s="225" t="s">
        <v>83</v>
      </c>
      <c r="N12" s="225"/>
      <c r="O12" s="225"/>
      <c r="P12" s="225"/>
      <c r="Q12" s="225"/>
      <c r="R12" s="228"/>
      <c r="S12" s="139" t="s">
        <v>33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299"/>
      <c r="AF12" s="308" t="s">
        <v>83</v>
      </c>
      <c r="AG12" s="308"/>
      <c r="AH12" s="308"/>
      <c r="AI12" s="261"/>
      <c r="AK12" s="312"/>
      <c r="AL12" s="313" t="s">
        <v>82</v>
      </c>
      <c r="AM12" s="308"/>
      <c r="AN12" s="308"/>
    </row>
    <row r="13" spans="1:40" ht="12.75">
      <c r="A13" s="115"/>
      <c r="B13" s="120" t="s">
        <v>1</v>
      </c>
      <c r="C13" s="121" t="s">
        <v>2</v>
      </c>
      <c r="D13" s="122"/>
      <c r="E13" s="122"/>
      <c r="F13" s="122"/>
      <c r="G13" s="122"/>
      <c r="H13" s="107"/>
      <c r="I13" s="115"/>
      <c r="J13" s="115"/>
      <c r="K13" s="115"/>
      <c r="L13" s="120" t="s">
        <v>1</v>
      </c>
      <c r="M13" s="226" t="s">
        <v>2</v>
      </c>
      <c r="N13" s="226"/>
      <c r="O13" s="226"/>
      <c r="P13" s="226"/>
      <c r="Q13" s="226"/>
      <c r="R13" s="229"/>
      <c r="S13" s="230" t="s">
        <v>3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299" t="s">
        <v>1</v>
      </c>
      <c r="AF13" s="309" t="s">
        <v>2</v>
      </c>
      <c r="AG13" s="309"/>
      <c r="AH13" s="309"/>
      <c r="AI13" s="261"/>
      <c r="AK13" s="314" t="s">
        <v>1</v>
      </c>
      <c r="AL13" s="309" t="s">
        <v>2</v>
      </c>
      <c r="AM13" s="309"/>
      <c r="AN13" s="309"/>
    </row>
    <row r="14" spans="1:40" ht="12.75">
      <c r="A14" s="115"/>
      <c r="B14" s="109" t="s">
        <v>4</v>
      </c>
      <c r="C14" s="110">
        <v>12</v>
      </c>
      <c r="D14" s="110">
        <v>24</v>
      </c>
      <c r="E14" s="110">
        <v>36</v>
      </c>
      <c r="F14" s="110">
        <v>48</v>
      </c>
      <c r="G14" s="110">
        <v>60</v>
      </c>
      <c r="H14" s="110">
        <v>72</v>
      </c>
      <c r="I14" s="115"/>
      <c r="J14" s="115"/>
      <c r="K14" s="115"/>
      <c r="L14" s="109" t="s">
        <v>4</v>
      </c>
      <c r="M14" s="227">
        <v>12</v>
      </c>
      <c r="N14" s="227">
        <v>24</v>
      </c>
      <c r="O14" s="227">
        <v>36</v>
      </c>
      <c r="P14" s="227">
        <v>48</v>
      </c>
      <c r="Q14" s="227">
        <v>60</v>
      </c>
      <c r="R14" s="227">
        <v>72</v>
      </c>
      <c r="S14" s="231" t="s">
        <v>5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247" t="s">
        <v>4</v>
      </c>
      <c r="AF14" s="310">
        <v>12</v>
      </c>
      <c r="AG14" s="310">
        <v>24</v>
      </c>
      <c r="AH14" s="310">
        <v>36</v>
      </c>
      <c r="AI14" s="261"/>
      <c r="AK14" s="247" t="s">
        <v>4</v>
      </c>
      <c r="AL14" s="315">
        <v>12</v>
      </c>
      <c r="AM14" s="310">
        <v>24</v>
      </c>
      <c r="AN14" s="310">
        <v>36</v>
      </c>
    </row>
    <row r="15" spans="1:40" ht="12.75">
      <c r="A15" s="115"/>
      <c r="B15" s="129">
        <f>+B16-1</f>
        <v>2005</v>
      </c>
      <c r="C15" s="140">
        <v>3780</v>
      </c>
      <c r="D15" s="131">
        <v>6671</v>
      </c>
      <c r="E15" s="141">
        <v>8156</v>
      </c>
      <c r="F15" s="141">
        <v>9205</v>
      </c>
      <c r="G15" s="141">
        <v>9990</v>
      </c>
      <c r="H15" s="142">
        <v>10508</v>
      </c>
      <c r="I15" s="115"/>
      <c r="J15" s="115"/>
      <c r="K15" s="115"/>
      <c r="L15" s="123">
        <f>+L16-1</f>
        <v>2005</v>
      </c>
      <c r="M15" s="128">
        <f aca="true" t="shared" si="0" ref="M15:R15">C4+C15</f>
        <v>9337</v>
      </c>
      <c r="N15" s="128">
        <f t="shared" si="0"/>
        <v>10847</v>
      </c>
      <c r="O15" s="128">
        <f t="shared" si="0"/>
        <v>11092</v>
      </c>
      <c r="P15" s="128">
        <f t="shared" si="0"/>
        <v>11192</v>
      </c>
      <c r="Q15" s="128">
        <f t="shared" si="0"/>
        <v>11235</v>
      </c>
      <c r="R15" s="232">
        <f t="shared" si="0"/>
        <v>11250</v>
      </c>
      <c r="S15" s="152" t="s">
        <v>6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241">
        <f>+AE16-1</f>
        <v>2005</v>
      </c>
      <c r="AF15" s="311">
        <f>+M15</f>
        <v>9337</v>
      </c>
      <c r="AG15" s="311">
        <f>+N15</f>
        <v>10847</v>
      </c>
      <c r="AH15" s="311">
        <f>+O15</f>
        <v>11092</v>
      </c>
      <c r="AI15" s="261"/>
      <c r="AK15" s="241">
        <f>+AK16-1</f>
        <v>2005</v>
      </c>
      <c r="AL15" s="316" t="s">
        <v>105</v>
      </c>
      <c r="AM15" s="316" t="s">
        <v>107</v>
      </c>
      <c r="AN15" s="311"/>
    </row>
    <row r="16" spans="1:40" ht="12.75">
      <c r="A16" s="115"/>
      <c r="B16" s="129">
        <f>+B17-1</f>
        <v>2006</v>
      </c>
      <c r="C16" s="140">
        <v>4212</v>
      </c>
      <c r="D16" s="141">
        <v>7541</v>
      </c>
      <c r="E16" s="141">
        <v>9351</v>
      </c>
      <c r="F16" s="141">
        <v>10639</v>
      </c>
      <c r="G16" s="141">
        <v>11536</v>
      </c>
      <c r="H16" s="142"/>
      <c r="I16" s="115"/>
      <c r="J16" s="115"/>
      <c r="K16" s="115"/>
      <c r="L16" s="129">
        <f>+L17-1</f>
        <v>2006</v>
      </c>
      <c r="M16" s="128">
        <f>C5+C16</f>
        <v>10540</v>
      </c>
      <c r="N16" s="128">
        <f>D5+D16</f>
        <v>12205</v>
      </c>
      <c r="O16" s="128">
        <f>E5+E16</f>
        <v>12551</v>
      </c>
      <c r="P16" s="128">
        <f>F5+F16</f>
        <v>12690</v>
      </c>
      <c r="Q16" s="128">
        <f>G5+G16</f>
        <v>12725</v>
      </c>
      <c r="R16" s="232"/>
      <c r="S16" s="152" t="s">
        <v>6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45">
        <f>+AE17-1</f>
        <v>2006</v>
      </c>
      <c r="AF16" s="311">
        <f>+M16</f>
        <v>10540</v>
      </c>
      <c r="AG16" s="311">
        <f>+N16</f>
        <v>12205</v>
      </c>
      <c r="AH16" s="311"/>
      <c r="AI16" s="261"/>
      <c r="AK16" s="245">
        <f>+AK17-1</f>
        <v>2006</v>
      </c>
      <c r="AL16" s="316" t="s">
        <v>106</v>
      </c>
      <c r="AM16" s="311"/>
      <c r="AN16" s="311"/>
    </row>
    <row r="17" spans="1:40" ht="12.75">
      <c r="A17" s="115"/>
      <c r="B17" s="129">
        <f>+B18-1</f>
        <v>2007</v>
      </c>
      <c r="C17" s="140">
        <v>4901</v>
      </c>
      <c r="D17" s="141">
        <v>8864</v>
      </c>
      <c r="E17" s="141">
        <v>10987</v>
      </c>
      <c r="F17" s="141">
        <v>12458</v>
      </c>
      <c r="G17" s="141"/>
      <c r="H17" s="142"/>
      <c r="I17" s="115"/>
      <c r="J17" s="115"/>
      <c r="K17" s="115"/>
      <c r="L17" s="129">
        <f>+L18-1</f>
        <v>2007</v>
      </c>
      <c r="M17" s="128">
        <f>C6+C17</f>
        <v>11875</v>
      </c>
      <c r="N17" s="128">
        <f>D6+D17</f>
        <v>13832</v>
      </c>
      <c r="O17" s="128">
        <f>E6+E17</f>
        <v>14238</v>
      </c>
      <c r="P17" s="128">
        <f>F6+F17</f>
        <v>14413</v>
      </c>
      <c r="Q17" s="128"/>
      <c r="R17" s="232"/>
      <c r="S17" s="152" t="s">
        <v>6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245">
        <f>+L17</f>
        <v>2007</v>
      </c>
      <c r="AF17" s="311">
        <f>+M17</f>
        <v>11875</v>
      </c>
      <c r="AG17" s="311"/>
      <c r="AH17" s="311"/>
      <c r="AI17" s="261"/>
      <c r="AK17" s="245">
        <f>+AE17</f>
        <v>2007</v>
      </c>
      <c r="AL17" s="311"/>
      <c r="AM17" s="311"/>
      <c r="AN17" s="311"/>
    </row>
    <row r="18" spans="1:40" ht="12.75">
      <c r="A18" s="115"/>
      <c r="B18" s="129">
        <f>+B19-1</f>
        <v>2008</v>
      </c>
      <c r="C18" s="140">
        <v>5708</v>
      </c>
      <c r="D18" s="141">
        <v>10268</v>
      </c>
      <c r="E18" s="141">
        <v>12699</v>
      </c>
      <c r="F18" s="141"/>
      <c r="G18" s="141"/>
      <c r="H18" s="142"/>
      <c r="I18" s="115"/>
      <c r="J18" s="115"/>
      <c r="K18" s="115"/>
      <c r="L18" s="129">
        <f>+L19-1</f>
        <v>2008</v>
      </c>
      <c r="M18" s="128">
        <f>C7+C18</f>
        <v>13343</v>
      </c>
      <c r="N18" s="128">
        <f>D7+D18</f>
        <v>15542</v>
      </c>
      <c r="O18" s="128">
        <f>E7+E18</f>
        <v>16066</v>
      </c>
      <c r="P18" s="128"/>
      <c r="Q18" s="128"/>
      <c r="R18" s="232"/>
      <c r="S18" s="152" t="s">
        <v>6</v>
      </c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</row>
    <row r="19" spans="1:40" ht="12.75">
      <c r="A19" s="115"/>
      <c r="B19" s="129">
        <f>+B20-1</f>
        <v>2009</v>
      </c>
      <c r="C19" s="140">
        <v>6093</v>
      </c>
      <c r="D19" s="141">
        <v>11172</v>
      </c>
      <c r="E19" s="141"/>
      <c r="F19" s="141"/>
      <c r="G19" s="141"/>
      <c r="H19" s="142"/>
      <c r="I19" s="115"/>
      <c r="J19" s="115"/>
      <c r="K19" s="115"/>
      <c r="L19" s="129">
        <f>+L20-1</f>
        <v>2009</v>
      </c>
      <c r="M19" s="128">
        <f>C8+C19</f>
        <v>14469</v>
      </c>
      <c r="N19" s="128">
        <f>D8+D19</f>
        <v>16776</v>
      </c>
      <c r="O19" s="128"/>
      <c r="P19" s="128"/>
      <c r="Q19" s="128"/>
      <c r="R19" s="232"/>
      <c r="S19" s="152" t="s">
        <v>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</row>
    <row r="20" spans="1:40" ht="12.75">
      <c r="A20" s="115"/>
      <c r="B20" s="109">
        <f>B9</f>
        <v>2010</v>
      </c>
      <c r="C20" s="143">
        <v>6962</v>
      </c>
      <c r="D20" s="144"/>
      <c r="E20" s="144"/>
      <c r="F20" s="144"/>
      <c r="G20" s="144"/>
      <c r="H20" s="145"/>
      <c r="I20" s="115"/>
      <c r="J20" s="115"/>
      <c r="K20" s="115"/>
      <c r="L20" s="109">
        <f>+B9</f>
        <v>2010</v>
      </c>
      <c r="M20" s="233">
        <f>C9+C20</f>
        <v>16561</v>
      </c>
      <c r="N20" s="233"/>
      <c r="O20" s="233"/>
      <c r="P20" s="233"/>
      <c r="Q20" s="233"/>
      <c r="R20" s="234"/>
      <c r="S20" s="235" t="s">
        <v>6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</row>
    <row r="21" spans="1:4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</row>
    <row r="22" spans="1:40" ht="12.7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</row>
    <row r="23" spans="1:40" ht="12.7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115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115"/>
      <c r="AK23" s="115"/>
      <c r="AL23" s="115"/>
      <c r="AM23" s="115"/>
      <c r="AN23" s="115"/>
    </row>
    <row r="24" spans="1:40" ht="12.7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99"/>
      <c r="M24" s="308" t="s">
        <v>82</v>
      </c>
      <c r="N24" s="308"/>
      <c r="O24" s="308"/>
      <c r="P24" s="308"/>
      <c r="Q24" s="308"/>
      <c r="R24" s="318"/>
      <c r="S24" s="262"/>
      <c r="T24" s="115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99"/>
      <c r="AF24" s="308" t="s">
        <v>82</v>
      </c>
      <c r="AG24" s="308"/>
      <c r="AH24" s="308"/>
      <c r="AI24" s="262"/>
      <c r="AJ24" s="115"/>
      <c r="AK24" s="115"/>
      <c r="AL24" s="115"/>
      <c r="AM24" s="115"/>
      <c r="AN24" s="115"/>
    </row>
    <row r="25" spans="1:40" ht="12.75">
      <c r="A25" s="262"/>
      <c r="B25" s="455" t="s">
        <v>250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314" t="s">
        <v>1</v>
      </c>
      <c r="M25" s="309" t="s">
        <v>2</v>
      </c>
      <c r="N25" s="309"/>
      <c r="O25" s="309"/>
      <c r="P25" s="309"/>
      <c r="Q25" s="309"/>
      <c r="R25" s="319"/>
      <c r="S25" s="262"/>
      <c r="T25" s="115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314" t="s">
        <v>1</v>
      </c>
      <c r="AF25" s="309" t="s">
        <v>2</v>
      </c>
      <c r="AG25" s="309"/>
      <c r="AH25" s="309"/>
      <c r="AI25" s="262"/>
      <c r="AJ25" s="115"/>
      <c r="AK25" s="115"/>
      <c r="AL25" s="115"/>
      <c r="AM25" s="115"/>
      <c r="AN25" s="115"/>
    </row>
    <row r="26" spans="1:40" ht="12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47" t="s">
        <v>4</v>
      </c>
      <c r="M26" s="310">
        <v>12</v>
      </c>
      <c r="N26" s="310">
        <v>24</v>
      </c>
      <c r="O26" s="310">
        <v>36</v>
      </c>
      <c r="P26" s="310">
        <v>48</v>
      </c>
      <c r="Q26" s="310">
        <v>60</v>
      </c>
      <c r="R26" s="310">
        <v>72</v>
      </c>
      <c r="S26" s="262"/>
      <c r="T26" s="115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47" t="s">
        <v>4</v>
      </c>
      <c r="AF26" s="310">
        <v>12</v>
      </c>
      <c r="AG26" s="310">
        <v>24</v>
      </c>
      <c r="AH26" s="310">
        <v>36</v>
      </c>
      <c r="AI26" s="262"/>
      <c r="AJ26" s="115"/>
      <c r="AK26" s="115"/>
      <c r="AL26" s="115"/>
      <c r="AM26" s="115"/>
      <c r="AN26" s="115"/>
    </row>
    <row r="27" spans="1:40" ht="12.7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41">
        <f>+L28-1</f>
        <v>2005</v>
      </c>
      <c r="M27" s="320">
        <f aca="true" t="shared" si="1" ref="M27:R27">C15/M15</f>
        <v>0.40484095533897396</v>
      </c>
      <c r="N27" s="321">
        <f t="shared" si="1"/>
        <v>0.6150087581819857</v>
      </c>
      <c r="O27" s="321">
        <f t="shared" si="1"/>
        <v>0.7353047241254959</v>
      </c>
      <c r="P27" s="321">
        <f t="shared" si="1"/>
        <v>0.8224624731951394</v>
      </c>
      <c r="Q27" s="321">
        <f t="shared" si="1"/>
        <v>0.8891855807743658</v>
      </c>
      <c r="R27" s="322">
        <f t="shared" si="1"/>
        <v>0.9340444444444445</v>
      </c>
      <c r="S27" s="262"/>
      <c r="T27" s="115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41">
        <f>+AE28-1</f>
        <v>2005</v>
      </c>
      <c r="AF27" s="317">
        <f>+AF5/AF15</f>
        <v>0.40484095533897396</v>
      </c>
      <c r="AG27" s="317">
        <f>+AG5/AG15</f>
        <v>0.6150087581819857</v>
      </c>
      <c r="AH27" s="317">
        <f>+AH5/AH15</f>
        <v>0.7353047241254959</v>
      </c>
      <c r="AI27" s="262"/>
      <c r="AJ27" s="115"/>
      <c r="AK27" s="115"/>
      <c r="AL27" s="115"/>
      <c r="AM27" s="115"/>
      <c r="AN27" s="115"/>
    </row>
    <row r="28" spans="1:40" ht="12.7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45">
        <f>+L29-1</f>
        <v>2006</v>
      </c>
      <c r="M28" s="323">
        <f>C16/M16</f>
        <v>0.39962049335863375</v>
      </c>
      <c r="N28" s="317">
        <f>D16/N16</f>
        <v>0.6178615321589512</v>
      </c>
      <c r="O28" s="317">
        <f>E16/O16</f>
        <v>0.7450402358377819</v>
      </c>
      <c r="P28" s="317">
        <f>F16/P16</f>
        <v>0.8383766745468874</v>
      </c>
      <c r="Q28" s="317">
        <f>G16/Q16</f>
        <v>0.9065618860510806</v>
      </c>
      <c r="R28" s="324"/>
      <c r="S28" s="262"/>
      <c r="T28" s="115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45">
        <f>+AE29-1</f>
        <v>2006</v>
      </c>
      <c r="AF28" s="317">
        <f>+AF6/AF16</f>
        <v>0.39962049335863375</v>
      </c>
      <c r="AG28" s="317">
        <f>+AG6/AG16</f>
        <v>0.6178615321589512</v>
      </c>
      <c r="AH28" s="317"/>
      <c r="AI28" s="262"/>
      <c r="AJ28" s="115"/>
      <c r="AK28" s="115"/>
      <c r="AL28" s="115"/>
      <c r="AM28" s="115"/>
      <c r="AN28" s="115"/>
    </row>
    <row r="29" spans="1:40" ht="12.7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45">
        <f>+L30-1</f>
        <v>2007</v>
      </c>
      <c r="M29" s="323">
        <f>C17/M17</f>
        <v>0.4127157894736842</v>
      </c>
      <c r="N29" s="317">
        <f>D17/N17</f>
        <v>0.6408328513591671</v>
      </c>
      <c r="O29" s="317">
        <f>E17/O17</f>
        <v>0.7716673690125018</v>
      </c>
      <c r="P29" s="317">
        <f>F17/P17</f>
        <v>0.8643585651842087</v>
      </c>
      <c r="Q29" s="311"/>
      <c r="R29" s="324"/>
      <c r="S29" s="262"/>
      <c r="T29" s="115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45">
        <f>+L29</f>
        <v>2007</v>
      </c>
      <c r="AF29" s="317">
        <f>+AF7/AF17</f>
        <v>0.4127157894736842</v>
      </c>
      <c r="AG29" s="317"/>
      <c r="AH29" s="317"/>
      <c r="AI29" s="262"/>
      <c r="AJ29" s="115"/>
      <c r="AK29" s="115"/>
      <c r="AL29" s="115"/>
      <c r="AM29" s="115"/>
      <c r="AN29" s="115"/>
    </row>
    <row r="30" spans="1:40" ht="12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45">
        <f>+L31-1</f>
        <v>2008</v>
      </c>
      <c r="M30" s="323">
        <f>C18/M18</f>
        <v>0.42778985235704114</v>
      </c>
      <c r="N30" s="317">
        <f>D18/N18</f>
        <v>0.6606614335349376</v>
      </c>
      <c r="O30" s="317">
        <f>E18/O18</f>
        <v>0.7904269886717291</v>
      </c>
      <c r="P30" s="311"/>
      <c r="Q30" s="311"/>
      <c r="R30" s="324"/>
      <c r="S30" s="262"/>
      <c r="T30" s="115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115"/>
      <c r="AK30" s="115"/>
      <c r="AL30" s="115"/>
      <c r="AM30" s="115"/>
      <c r="AN30" s="115"/>
    </row>
    <row r="31" spans="1:40" ht="12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45">
        <f>+L32-1</f>
        <v>2009</v>
      </c>
      <c r="M31" s="323">
        <f>C19/M19</f>
        <v>0.42110719469210034</v>
      </c>
      <c r="N31" s="317">
        <f>D19/N19</f>
        <v>0.6659513590844063</v>
      </c>
      <c r="O31" s="311"/>
      <c r="P31" s="311"/>
      <c r="Q31" s="311"/>
      <c r="R31" s="324"/>
      <c r="S31" s="262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</row>
    <row r="32" spans="9:40" ht="12.75">
      <c r="I32" s="262"/>
      <c r="J32" s="262"/>
      <c r="K32" s="262"/>
      <c r="L32" s="247">
        <f>B9</f>
        <v>2010</v>
      </c>
      <c r="M32" s="325">
        <f>C20/M20</f>
        <v>0.4203852424370509</v>
      </c>
      <c r="N32" s="326"/>
      <c r="O32" s="326"/>
      <c r="P32" s="326"/>
      <c r="Q32" s="326"/>
      <c r="R32" s="327"/>
      <c r="S32" s="262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</row>
    <row r="34" ht="12.75">
      <c r="L34" s="240" t="s">
        <v>249</v>
      </c>
    </row>
    <row r="35" ht="12.75">
      <c r="L35" s="240" t="s">
        <v>248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9.7109375" style="7" customWidth="1"/>
    <col min="3" max="16384" width="9.140625" style="7" customWidth="1"/>
  </cols>
  <sheetData>
    <row r="1" spans="1:15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328"/>
      <c r="B3" s="329" t="s">
        <v>63</v>
      </c>
      <c r="C3" s="329"/>
      <c r="D3" s="329"/>
      <c r="E3" s="329"/>
      <c r="F3" s="329"/>
      <c r="G3" s="329"/>
      <c r="H3" s="115"/>
      <c r="I3" s="212"/>
      <c r="J3" s="213" t="s">
        <v>45</v>
      </c>
      <c r="K3" s="214"/>
      <c r="L3" s="214"/>
      <c r="M3" s="214"/>
      <c r="N3" s="214"/>
      <c r="O3" s="215"/>
    </row>
    <row r="4" spans="1:15" ht="15">
      <c r="A4" s="330" t="s">
        <v>1</v>
      </c>
      <c r="B4" s="329" t="s">
        <v>2</v>
      </c>
      <c r="C4" s="329"/>
      <c r="D4" s="329"/>
      <c r="E4" s="329"/>
      <c r="F4" s="329"/>
      <c r="G4" s="329"/>
      <c r="H4" s="115"/>
      <c r="I4" s="216" t="s">
        <v>1</v>
      </c>
      <c r="J4" s="217" t="s">
        <v>2</v>
      </c>
      <c r="K4" s="218"/>
      <c r="L4" s="218"/>
      <c r="M4" s="218"/>
      <c r="N4" s="218"/>
      <c r="O4" s="219"/>
    </row>
    <row r="5" spans="1:15" ht="15">
      <c r="A5" s="276" t="s">
        <v>4</v>
      </c>
      <c r="B5" s="278">
        <v>12</v>
      </c>
      <c r="C5" s="278">
        <v>24</v>
      </c>
      <c r="D5" s="278">
        <v>36</v>
      </c>
      <c r="E5" s="278">
        <v>48</v>
      </c>
      <c r="F5" s="278">
        <v>60</v>
      </c>
      <c r="G5" s="278">
        <v>72</v>
      </c>
      <c r="H5" s="115"/>
      <c r="I5" s="220" t="s">
        <v>4</v>
      </c>
      <c r="J5" s="221">
        <v>12</v>
      </c>
      <c r="K5" s="221">
        <v>24</v>
      </c>
      <c r="L5" s="221">
        <v>36</v>
      </c>
      <c r="M5" s="221">
        <v>48</v>
      </c>
      <c r="N5" s="221">
        <v>60</v>
      </c>
      <c r="O5" s="221">
        <v>72</v>
      </c>
    </row>
    <row r="6" spans="1:15" ht="15">
      <c r="A6" s="331"/>
      <c r="B6" s="332"/>
      <c r="C6" s="333"/>
      <c r="D6" s="333"/>
      <c r="E6" s="333"/>
      <c r="F6" s="333"/>
      <c r="G6" s="334"/>
      <c r="H6" s="115"/>
      <c r="I6" s="222"/>
      <c r="J6" s="222"/>
      <c r="K6" s="222"/>
      <c r="L6" s="222"/>
      <c r="M6" s="222"/>
      <c r="N6" s="222"/>
      <c r="O6" s="222"/>
    </row>
    <row r="7" spans="1:15" ht="15">
      <c r="A7" s="335">
        <f>+A8-1</f>
        <v>2005</v>
      </c>
      <c r="B7" s="336">
        <f>'Sensitivity Analysis'!M15/J7*1000</f>
        <v>6538.515406162465</v>
      </c>
      <c r="C7" s="337">
        <f>'Sensitivity Analysis'!N15/K7*1000</f>
        <v>3913.059163059163</v>
      </c>
      <c r="D7" s="337">
        <f>'Sensitivity Analysis'!O15/L7*1000</f>
        <v>3891.929824561403</v>
      </c>
      <c r="E7" s="337">
        <f>'Sensitivity Analysis'!P15/M7*1000</f>
        <v>3905.0942079553383</v>
      </c>
      <c r="F7" s="337">
        <f>'Sensitivity Analysis'!Q15/N7*1000</f>
        <v>3914.6341463414633</v>
      </c>
      <c r="G7" s="338">
        <f>'Sensitivity Analysis'!R15/O7*1000</f>
        <v>3895.4293628808864</v>
      </c>
      <c r="H7" s="115"/>
      <c r="I7" s="223">
        <f>+I8-1</f>
        <v>2005</v>
      </c>
      <c r="J7" s="224">
        <v>1428</v>
      </c>
      <c r="K7" s="224">
        <v>2772</v>
      </c>
      <c r="L7" s="224">
        <v>2850</v>
      </c>
      <c r="M7" s="224">
        <v>2866</v>
      </c>
      <c r="N7" s="224">
        <v>2870</v>
      </c>
      <c r="O7" s="224">
        <v>2888</v>
      </c>
    </row>
    <row r="8" spans="1:15" ht="15">
      <c r="A8" s="335">
        <f>+A9-1</f>
        <v>2006</v>
      </c>
      <c r="B8" s="336">
        <f>'Sensitivity Analysis'!M16/J8*1000</f>
        <v>6163.74269005848</v>
      </c>
      <c r="C8" s="337">
        <f>'Sensitivity Analysis'!N16/K8*1000</f>
        <v>4025.395778364116</v>
      </c>
      <c r="D8" s="337">
        <f>'Sensitivity Analysis'!O16/L8*1000</f>
        <v>4067.0771224886585</v>
      </c>
      <c r="E8" s="337">
        <f>'Sensitivity Analysis'!P16/M8*1000</f>
        <v>4101.486748545572</v>
      </c>
      <c r="F8" s="337">
        <f>'Sensitivity Analysis'!Q16/N8*1000</f>
        <v>4091.639871382637</v>
      </c>
      <c r="G8" s="338"/>
      <c r="H8" s="115"/>
      <c r="I8" s="223">
        <f>+I9-1</f>
        <v>2006</v>
      </c>
      <c r="J8" s="224">
        <v>1710</v>
      </c>
      <c r="K8" s="224">
        <v>3032</v>
      </c>
      <c r="L8" s="224">
        <v>3086</v>
      </c>
      <c r="M8" s="224">
        <v>3094</v>
      </c>
      <c r="N8" s="224">
        <v>3110</v>
      </c>
      <c r="O8" s="224"/>
    </row>
    <row r="9" spans="1:15" ht="15">
      <c r="A9" s="335">
        <f>+A10-1</f>
        <v>2007</v>
      </c>
      <c r="B9" s="336">
        <f>'Sensitivity Analysis'!M17/J9*1000</f>
        <v>8744.477172312223</v>
      </c>
      <c r="C9" s="337">
        <f>'Sensitivity Analysis'!N17/K9*1000</f>
        <v>4975.539568345324</v>
      </c>
      <c r="D9" s="337">
        <f>'Sensitivity Analysis'!O17/L9*1000</f>
        <v>4761.872909698996</v>
      </c>
      <c r="E9" s="337">
        <f>'Sensitivity Analysis'!P17/M9*1000</f>
        <v>4804.333333333333</v>
      </c>
      <c r="F9" s="337"/>
      <c r="G9" s="338"/>
      <c r="H9" s="115"/>
      <c r="I9" s="223">
        <f>+I10-1</f>
        <v>2007</v>
      </c>
      <c r="J9" s="224">
        <v>1358</v>
      </c>
      <c r="K9" s="224">
        <v>2780</v>
      </c>
      <c r="L9" s="224">
        <v>2990</v>
      </c>
      <c r="M9" s="224">
        <v>3000</v>
      </c>
      <c r="N9" s="224"/>
      <c r="O9" s="224"/>
    </row>
    <row r="10" spans="1:15" ht="15">
      <c r="A10" s="335">
        <f>+A11-1</f>
        <v>2008</v>
      </c>
      <c r="B10" s="336">
        <f>'Sensitivity Analysis'!M18/J10*1000</f>
        <v>8836.423841059603</v>
      </c>
      <c r="C10" s="337">
        <f>'Sensitivity Analysis'!N18/K10*1000</f>
        <v>6005.409582689335</v>
      </c>
      <c r="D10" s="337">
        <f>'Sensitivity Analysis'!O18/L10*1000</f>
        <v>6048.94578313253</v>
      </c>
      <c r="E10" s="337"/>
      <c r="F10" s="337"/>
      <c r="G10" s="338"/>
      <c r="H10" s="115"/>
      <c r="I10" s="223">
        <f>+I11-1</f>
        <v>2008</v>
      </c>
      <c r="J10" s="224">
        <v>1510</v>
      </c>
      <c r="K10" s="224">
        <v>2588</v>
      </c>
      <c r="L10" s="224">
        <v>2656</v>
      </c>
      <c r="M10" s="224"/>
      <c r="N10" s="224"/>
      <c r="O10" s="224"/>
    </row>
    <row r="11" spans="1:15" ht="15">
      <c r="A11" s="335">
        <f>+A12-1</f>
        <v>2009</v>
      </c>
      <c r="B11" s="336">
        <f>'Sensitivity Analysis'!M19/J11*1000</f>
        <v>9723.790322580646</v>
      </c>
      <c r="C11" s="337">
        <f>'Sensitivity Analysis'!N19/K11*1000</f>
        <v>6442.3963133640555</v>
      </c>
      <c r="D11" s="337"/>
      <c r="E11" s="337"/>
      <c r="F11" s="337"/>
      <c r="G11" s="338"/>
      <c r="H11" s="115"/>
      <c r="I11" s="223">
        <f>+I12-1</f>
        <v>2009</v>
      </c>
      <c r="J11" s="224">
        <v>1488</v>
      </c>
      <c r="K11" s="224">
        <v>2604</v>
      </c>
      <c r="L11" s="224"/>
      <c r="M11" s="224"/>
      <c r="N11" s="224"/>
      <c r="O11" s="224"/>
    </row>
    <row r="12" spans="1:15" ht="15">
      <c r="A12" s="339">
        <f>latest_year</f>
        <v>2010</v>
      </c>
      <c r="B12" s="340">
        <f>'Sensitivity Analysis'!M20/J12*1000</f>
        <v>10324.812967581049</v>
      </c>
      <c r="C12" s="341"/>
      <c r="D12" s="341"/>
      <c r="E12" s="341"/>
      <c r="F12" s="341"/>
      <c r="G12" s="342"/>
      <c r="H12" s="115"/>
      <c r="I12" s="223">
        <f>latest_year</f>
        <v>2010</v>
      </c>
      <c r="J12" s="224">
        <v>1604</v>
      </c>
      <c r="K12" s="224"/>
      <c r="L12" s="224"/>
      <c r="M12" s="224"/>
      <c r="N12" s="224"/>
      <c r="O12" s="224"/>
    </row>
    <row r="15" spans="9:15" ht="15">
      <c r="I15" s="2" t="s">
        <v>75</v>
      </c>
      <c r="J15" s="2"/>
      <c r="K15" s="2"/>
      <c r="L15" s="2"/>
      <c r="M15" s="2"/>
      <c r="N15" s="2"/>
      <c r="O15" s="1"/>
    </row>
    <row r="16" spans="9:15" ht="15">
      <c r="I16" s="2" t="s">
        <v>46</v>
      </c>
      <c r="J16" s="2"/>
      <c r="K16" s="2"/>
      <c r="L16" s="2"/>
      <c r="M16" s="2"/>
      <c r="N16" s="2"/>
      <c r="O16" s="1"/>
    </row>
    <row r="17" spans="9:15" ht="15">
      <c r="I17" s="2" t="s">
        <v>47</v>
      </c>
      <c r="J17" s="2"/>
      <c r="K17" s="2"/>
      <c r="L17" s="2"/>
      <c r="M17" s="2"/>
      <c r="N17" s="2"/>
      <c r="O17" s="3"/>
    </row>
    <row r="18" spans="9:15" ht="15">
      <c r="I18" s="2" t="s">
        <v>48</v>
      </c>
      <c r="J18" s="2"/>
      <c r="K18" s="2"/>
      <c r="L18" s="2"/>
      <c r="M18" s="2"/>
      <c r="N18" s="2"/>
      <c r="O18" s="3"/>
    </row>
    <row r="19" spans="9:15" ht="15">
      <c r="I19" s="2" t="s">
        <v>49</v>
      </c>
      <c r="J19" s="2"/>
      <c r="K19" s="2"/>
      <c r="L19" s="2"/>
      <c r="M19" s="2"/>
      <c r="N19" s="2"/>
      <c r="O19" s="3"/>
    </row>
    <row r="20" spans="9:15" ht="15">
      <c r="I20" s="2" t="s">
        <v>50</v>
      </c>
      <c r="J20" s="2"/>
      <c r="K20" s="2"/>
      <c r="L20" s="2"/>
      <c r="M20" s="2"/>
      <c r="N20" s="2"/>
      <c r="O20" s="3"/>
    </row>
    <row r="21" spans="9:15" ht="15">
      <c r="I21" s="2" t="s">
        <v>51</v>
      </c>
      <c r="J21" s="2"/>
      <c r="K21" s="2"/>
      <c r="L21" s="2"/>
      <c r="M21" s="2"/>
      <c r="N21" s="2"/>
      <c r="O21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J25" sqref="J25"/>
    </sheetView>
  </sheetViews>
  <sheetFormatPr defaultColWidth="9.140625" defaultRowHeight="12.75"/>
  <cols>
    <col min="1" max="1" width="9.140625" style="7" customWidth="1"/>
    <col min="2" max="2" width="10.57421875" style="7" customWidth="1"/>
    <col min="3" max="7" width="9.140625" style="7" customWidth="1"/>
    <col min="8" max="8" width="10.57421875" style="7" customWidth="1"/>
    <col min="9" max="10" width="9.140625" style="7" customWidth="1"/>
    <col min="11" max="11" width="10.140625" style="7" customWidth="1"/>
    <col min="12" max="16" width="9.140625" style="7" customWidth="1"/>
    <col min="17" max="17" width="10.57421875" style="7" customWidth="1"/>
    <col min="18" max="16384" width="9.140625" style="7" customWidth="1"/>
  </cols>
  <sheetData>
    <row r="1" spans="1:17" ht="12.75">
      <c r="A1" s="355" t="s">
        <v>64</v>
      </c>
      <c r="B1" s="356"/>
      <c r="C1" s="356"/>
      <c r="D1" s="356"/>
      <c r="E1" s="356"/>
      <c r="F1" s="356"/>
      <c r="G1" s="356"/>
      <c r="H1" s="356"/>
      <c r="I1" s="262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261"/>
      <c r="B2" s="261"/>
      <c r="C2" s="261"/>
      <c r="D2" s="261"/>
      <c r="E2" s="261"/>
      <c r="F2" s="261"/>
      <c r="G2" s="261"/>
      <c r="H2" s="261"/>
      <c r="I2" s="262"/>
      <c r="J2" s="262"/>
      <c r="K2" s="262"/>
      <c r="L2" s="262"/>
      <c r="M2" s="262"/>
      <c r="N2" s="262"/>
      <c r="O2" s="262"/>
      <c r="P2" s="262"/>
      <c r="Q2" s="262"/>
    </row>
    <row r="3" spans="1:17" s="8" customFormat="1" ht="12.75">
      <c r="A3" s="241"/>
      <c r="B3" s="241" t="s">
        <v>35</v>
      </c>
      <c r="C3" s="249"/>
      <c r="D3" s="246"/>
      <c r="E3" s="241" t="s">
        <v>17</v>
      </c>
      <c r="F3" s="241"/>
      <c r="G3" s="241" t="s">
        <v>65</v>
      </c>
      <c r="H3" s="241" t="s">
        <v>66</v>
      </c>
      <c r="I3" s="354"/>
      <c r="J3" s="241"/>
      <c r="K3" s="241" t="s">
        <v>35</v>
      </c>
      <c r="L3" s="249"/>
      <c r="M3" s="246"/>
      <c r="N3" s="241" t="s">
        <v>17</v>
      </c>
      <c r="O3" s="241"/>
      <c r="P3" s="241" t="s">
        <v>65</v>
      </c>
      <c r="Q3" s="241" t="s">
        <v>66</v>
      </c>
    </row>
    <row r="4" spans="1:17" s="8" customFormat="1" ht="12.75">
      <c r="A4" s="245" t="s">
        <v>22</v>
      </c>
      <c r="B4" s="245" t="s">
        <v>23</v>
      </c>
      <c r="C4" s="302" t="s">
        <v>67</v>
      </c>
      <c r="D4" s="343"/>
      <c r="E4" s="245" t="s">
        <v>14</v>
      </c>
      <c r="F4" s="245" t="s">
        <v>55</v>
      </c>
      <c r="G4" s="245" t="s">
        <v>21</v>
      </c>
      <c r="H4" s="245" t="s">
        <v>23</v>
      </c>
      <c r="I4" s="354"/>
      <c r="J4" s="245" t="s">
        <v>22</v>
      </c>
      <c r="K4" s="245" t="s">
        <v>23</v>
      </c>
      <c r="L4" s="302" t="s">
        <v>67</v>
      </c>
      <c r="M4" s="343"/>
      <c r="N4" s="245" t="s">
        <v>14</v>
      </c>
      <c r="O4" s="245" t="s">
        <v>55</v>
      </c>
      <c r="P4" s="245" t="s">
        <v>21</v>
      </c>
      <c r="Q4" s="245" t="s">
        <v>23</v>
      </c>
    </row>
    <row r="5" spans="1:17" s="8" customFormat="1" ht="12.75">
      <c r="A5" s="247" t="s">
        <v>4</v>
      </c>
      <c r="B5" s="344" t="str">
        <f>"@ "&amp;TEXT(curreval,"mm/dd/yy")</f>
        <v>@ 12/31/10</v>
      </c>
      <c r="C5" s="304" t="s">
        <v>73</v>
      </c>
      <c r="D5" s="304" t="s">
        <v>68</v>
      </c>
      <c r="E5" s="247" t="s">
        <v>23</v>
      </c>
      <c r="F5" s="247" t="s">
        <v>57</v>
      </c>
      <c r="G5" s="247" t="s">
        <v>69</v>
      </c>
      <c r="H5" s="344" t="str">
        <f>"@ "&amp;TEXT(curreval,"mm/dd/yy")</f>
        <v>@ 12/31/10</v>
      </c>
      <c r="I5" s="354"/>
      <c r="J5" s="247" t="s">
        <v>4</v>
      </c>
      <c r="K5" s="344" t="str">
        <f>"@ "&amp;TEXT(curreval,"mm/dd/yy")</f>
        <v>@ 12/31/10</v>
      </c>
      <c r="L5" s="304" t="s">
        <v>73</v>
      </c>
      <c r="M5" s="304" t="s">
        <v>68</v>
      </c>
      <c r="N5" s="247" t="s">
        <v>23</v>
      </c>
      <c r="O5" s="247" t="s">
        <v>57</v>
      </c>
      <c r="P5" s="247" t="s">
        <v>69</v>
      </c>
      <c r="Q5" s="344" t="str">
        <f>"@ "&amp;TEXT(curreval,"mm/dd/yy")</f>
        <v>@ 12/31/10</v>
      </c>
    </row>
    <row r="6" spans="1:17" ht="12.75">
      <c r="A6" s="312"/>
      <c r="B6" s="312"/>
      <c r="C6" s="312"/>
      <c r="D6" s="312"/>
      <c r="E6" s="312"/>
      <c r="F6" s="312"/>
      <c r="G6" s="312"/>
      <c r="H6" s="312"/>
      <c r="I6" s="262"/>
      <c r="J6" s="312"/>
      <c r="K6" s="312"/>
      <c r="L6" s="312"/>
      <c r="M6" s="312"/>
      <c r="N6" s="312"/>
      <c r="O6" s="312"/>
      <c r="P6" s="312"/>
      <c r="Q6" s="312"/>
    </row>
    <row r="7" spans="1:17" ht="12.75">
      <c r="A7" s="245">
        <f>+A8-1</f>
        <v>2005</v>
      </c>
      <c r="B7" s="345">
        <f>'Sensitivity Analysis'!R15</f>
        <v>11250</v>
      </c>
      <c r="C7" s="346">
        <v>1.02</v>
      </c>
      <c r="D7" s="346">
        <f>C7</f>
        <v>1.02</v>
      </c>
      <c r="E7" s="345">
        <f aca="true" t="shared" si="0" ref="E7:E12">ROUND(D7*B7,0)</f>
        <v>11475</v>
      </c>
      <c r="F7" s="345">
        <f>'Reasonableness Checks'!B5</f>
        <v>18168</v>
      </c>
      <c r="G7" s="347">
        <f aca="true" t="shared" si="1" ref="G7:G12">E7/F7</f>
        <v>0.6316050198150595</v>
      </c>
      <c r="H7" s="345">
        <f>E7-'Sensitivity Analysis'!H15</f>
        <v>967</v>
      </c>
      <c r="I7" s="262"/>
      <c r="J7" s="245">
        <f>+J8-1</f>
        <v>2005</v>
      </c>
      <c r="K7" s="345">
        <f aca="true" t="shared" si="2" ref="K7:K12">B7</f>
        <v>11250</v>
      </c>
      <c r="L7" s="346">
        <v>1</v>
      </c>
      <c r="M7" s="346">
        <f>L7</f>
        <v>1</v>
      </c>
      <c r="N7" s="345">
        <f aca="true" t="shared" si="3" ref="N7:N12">ROUND(M7*K7,0)</f>
        <v>11250</v>
      </c>
      <c r="O7" s="345">
        <f aca="true" t="shared" si="4" ref="O7:O12">+F7</f>
        <v>18168</v>
      </c>
      <c r="P7" s="347">
        <f aca="true" t="shared" si="5" ref="P7:P12">N7/O7</f>
        <v>0.619220607661823</v>
      </c>
      <c r="Q7" s="345">
        <f>N7-'Sensitivity Analysis'!H15</f>
        <v>742</v>
      </c>
    </row>
    <row r="8" spans="1:17" ht="12.75">
      <c r="A8" s="245">
        <f>+A9-1</f>
        <v>2006</v>
      </c>
      <c r="B8" s="345">
        <f>'Sensitivity Analysis'!Q16</f>
        <v>12725</v>
      </c>
      <c r="C8" s="348">
        <f>'[1]I-41'!$P$21</f>
        <v>1.001</v>
      </c>
      <c r="D8" s="348">
        <f>ROUND(D7*C8,3)</f>
        <v>1.021</v>
      </c>
      <c r="E8" s="345">
        <f t="shared" si="0"/>
        <v>12992</v>
      </c>
      <c r="F8" s="345">
        <f>'Reasonableness Checks'!B6</f>
        <v>21995</v>
      </c>
      <c r="G8" s="347">
        <f t="shared" si="1"/>
        <v>0.5906796999318027</v>
      </c>
      <c r="H8" s="345">
        <f>E8-'Sensitivity Analysis'!G16</f>
        <v>1456</v>
      </c>
      <c r="I8" s="262"/>
      <c r="J8" s="245">
        <f>+J9-1</f>
        <v>2006</v>
      </c>
      <c r="K8" s="345">
        <f t="shared" si="2"/>
        <v>12725</v>
      </c>
      <c r="L8" s="348">
        <f>+C8</f>
        <v>1.001</v>
      </c>
      <c r="M8" s="348">
        <f>M7*L8</f>
        <v>1.001</v>
      </c>
      <c r="N8" s="345">
        <f t="shared" si="3"/>
        <v>12738</v>
      </c>
      <c r="O8" s="345">
        <f t="shared" si="4"/>
        <v>21995</v>
      </c>
      <c r="P8" s="347">
        <f t="shared" si="5"/>
        <v>0.5791316208229143</v>
      </c>
      <c r="Q8" s="345">
        <f>N8-'Sensitivity Analysis'!G16</f>
        <v>1202</v>
      </c>
    </row>
    <row r="9" spans="1:17" ht="12.75">
      <c r="A9" s="245">
        <f>+A10-1</f>
        <v>2007</v>
      </c>
      <c r="B9" s="345">
        <f>'Sensitivity Analysis'!P17</f>
        <v>14413</v>
      </c>
      <c r="C9" s="348">
        <f>'[1]I-41'!$O$21</f>
        <v>1.003</v>
      </c>
      <c r="D9" s="348">
        <f>ROUND(D8*C9,3)</f>
        <v>1.024</v>
      </c>
      <c r="E9" s="345">
        <f t="shared" si="0"/>
        <v>14759</v>
      </c>
      <c r="F9" s="345">
        <f>'Reasonableness Checks'!B7</f>
        <v>24173</v>
      </c>
      <c r="G9" s="347">
        <f t="shared" si="1"/>
        <v>0.6105572332767965</v>
      </c>
      <c r="H9" s="345">
        <f>E9-'Sensitivity Analysis'!F17</f>
        <v>2301</v>
      </c>
      <c r="I9" s="262"/>
      <c r="J9" s="245">
        <f>+J10-1</f>
        <v>2007</v>
      </c>
      <c r="K9" s="345">
        <f t="shared" si="2"/>
        <v>14413</v>
      </c>
      <c r="L9" s="348">
        <f>+C9</f>
        <v>1.003</v>
      </c>
      <c r="M9" s="348">
        <f>M8*L9</f>
        <v>1.0040029999999998</v>
      </c>
      <c r="N9" s="345">
        <f t="shared" si="3"/>
        <v>14471</v>
      </c>
      <c r="O9" s="345">
        <f t="shared" si="4"/>
        <v>24173</v>
      </c>
      <c r="P9" s="347">
        <f t="shared" si="5"/>
        <v>0.5986431142183428</v>
      </c>
      <c r="Q9" s="345">
        <f>N9-'Sensitivity Analysis'!F17</f>
        <v>2013</v>
      </c>
    </row>
    <row r="10" spans="1:17" ht="12.75">
      <c r="A10" s="245">
        <f>+A11-1</f>
        <v>2008</v>
      </c>
      <c r="B10" s="345">
        <f>'Sensitivity Analysis'!O18</f>
        <v>16066</v>
      </c>
      <c r="C10" s="348">
        <f>'[1]I-41'!$N$21</f>
        <v>1.011</v>
      </c>
      <c r="D10" s="348">
        <f>ROUND(D9*C10,3)</f>
        <v>1.035</v>
      </c>
      <c r="E10" s="345">
        <f t="shared" si="0"/>
        <v>16628</v>
      </c>
      <c r="F10" s="345">
        <f>'Reasonableness Checks'!B8</f>
        <v>25534</v>
      </c>
      <c r="G10" s="347">
        <f t="shared" si="1"/>
        <v>0.6512101511709877</v>
      </c>
      <c r="H10" s="345">
        <f>E10-'Sensitivity Analysis'!E18</f>
        <v>3929</v>
      </c>
      <c r="I10" s="262"/>
      <c r="J10" s="245">
        <f>+J11-1</f>
        <v>2008</v>
      </c>
      <c r="K10" s="345">
        <f t="shared" si="2"/>
        <v>16066</v>
      </c>
      <c r="L10" s="348">
        <f>+C10</f>
        <v>1.011</v>
      </c>
      <c r="M10" s="348">
        <f>M9*L10</f>
        <v>1.0150470329999997</v>
      </c>
      <c r="N10" s="345">
        <f t="shared" si="3"/>
        <v>16308</v>
      </c>
      <c r="O10" s="345">
        <f t="shared" si="4"/>
        <v>25534</v>
      </c>
      <c r="P10" s="347">
        <f t="shared" si="5"/>
        <v>0.6386778413096263</v>
      </c>
      <c r="Q10" s="345">
        <f>N10-'Sensitivity Analysis'!E18</f>
        <v>3609</v>
      </c>
    </row>
    <row r="11" spans="1:17" ht="12.75">
      <c r="A11" s="245">
        <f>+A12-1</f>
        <v>2009</v>
      </c>
      <c r="B11" s="345">
        <f>'Sensitivity Analysis'!N19</f>
        <v>16776</v>
      </c>
      <c r="C11" s="348">
        <f>'[1]I-41'!$M$21</f>
        <v>1.03</v>
      </c>
      <c r="D11" s="348">
        <f>ROUND(D10*C11,3)</f>
        <v>1.066</v>
      </c>
      <c r="E11" s="345">
        <f t="shared" si="0"/>
        <v>17883</v>
      </c>
      <c r="F11" s="345">
        <f>'Reasonableness Checks'!B9</f>
        <v>31341</v>
      </c>
      <c r="G11" s="347">
        <f t="shared" si="1"/>
        <v>0.570594429022686</v>
      </c>
      <c r="H11" s="345">
        <f>E11-'Sensitivity Analysis'!D19</f>
        <v>6711</v>
      </c>
      <c r="I11" s="262"/>
      <c r="J11" s="245">
        <f>+J12-1</f>
        <v>2009</v>
      </c>
      <c r="K11" s="345">
        <f t="shared" si="2"/>
        <v>16776</v>
      </c>
      <c r="L11" s="348">
        <f>+C11</f>
        <v>1.03</v>
      </c>
      <c r="M11" s="348">
        <f>M10*L11</f>
        <v>1.0454984439899997</v>
      </c>
      <c r="N11" s="345">
        <f t="shared" si="3"/>
        <v>17539</v>
      </c>
      <c r="O11" s="345">
        <f t="shared" si="4"/>
        <v>31341</v>
      </c>
      <c r="P11" s="347">
        <f t="shared" si="5"/>
        <v>0.5596183912446955</v>
      </c>
      <c r="Q11" s="345">
        <f>N11-'Sensitivity Analysis'!D19</f>
        <v>6367</v>
      </c>
    </row>
    <row r="12" spans="1:17" ht="12.75">
      <c r="A12" s="247">
        <f>latest_year</f>
        <v>2010</v>
      </c>
      <c r="B12" s="349">
        <f>'Sensitivity Analysis'!M20</f>
        <v>16561</v>
      </c>
      <c r="C12" s="350">
        <f>'[1]I-41'!$L$21</f>
        <v>1.162</v>
      </c>
      <c r="D12" s="350">
        <f>ROUND(D11*C12,3)</f>
        <v>1.239</v>
      </c>
      <c r="E12" s="349">
        <f t="shared" si="0"/>
        <v>20519</v>
      </c>
      <c r="F12" s="349">
        <f>'Reasonableness Checks'!B10</f>
        <v>38469</v>
      </c>
      <c r="G12" s="351">
        <f t="shared" si="1"/>
        <v>0.5333905222386857</v>
      </c>
      <c r="H12" s="349">
        <f>E12-'Sensitivity Analysis'!C20</f>
        <v>13557</v>
      </c>
      <c r="I12" s="262"/>
      <c r="J12" s="247">
        <f>A12</f>
        <v>2010</v>
      </c>
      <c r="K12" s="349">
        <f t="shared" si="2"/>
        <v>16561</v>
      </c>
      <c r="L12" s="350">
        <f>+C12</f>
        <v>1.162</v>
      </c>
      <c r="M12" s="350">
        <f>M11*L12</f>
        <v>1.2148691919163797</v>
      </c>
      <c r="N12" s="349">
        <f t="shared" si="3"/>
        <v>20119</v>
      </c>
      <c r="O12" s="349">
        <f t="shared" si="4"/>
        <v>38469</v>
      </c>
      <c r="P12" s="351">
        <f t="shared" si="5"/>
        <v>0.5229925394473472</v>
      </c>
      <c r="Q12" s="349">
        <f>N12-'Sensitivity Analysis'!C20</f>
        <v>13157</v>
      </c>
    </row>
    <row r="13" spans="1:17" ht="12.75">
      <c r="A13" s="312"/>
      <c r="B13" s="312"/>
      <c r="C13" s="261"/>
      <c r="D13" s="261"/>
      <c r="E13" s="312"/>
      <c r="F13" s="312"/>
      <c r="G13" s="352"/>
      <c r="H13" s="312"/>
      <c r="I13" s="262"/>
      <c r="J13" s="312"/>
      <c r="K13" s="312"/>
      <c r="L13" s="261"/>
      <c r="M13" s="261"/>
      <c r="N13" s="312"/>
      <c r="O13" s="312"/>
      <c r="P13" s="352"/>
      <c r="Q13" s="312"/>
    </row>
    <row r="14" spans="1:17" ht="12.75">
      <c r="A14" s="247" t="s">
        <v>3</v>
      </c>
      <c r="B14" s="353">
        <f>SUM(B7:B13)</f>
        <v>87791</v>
      </c>
      <c r="C14" s="261"/>
      <c r="D14" s="261"/>
      <c r="E14" s="353">
        <f>SUM(E7:E13)</f>
        <v>94256</v>
      </c>
      <c r="F14" s="353">
        <f>SUM(F7:F13)</f>
        <v>159680</v>
      </c>
      <c r="G14" s="351">
        <f>E14/F14</f>
        <v>0.5902805611222445</v>
      </c>
      <c r="H14" s="353">
        <f>SUM(H7:H13)</f>
        <v>28921</v>
      </c>
      <c r="I14" s="262"/>
      <c r="J14" s="247" t="s">
        <v>3</v>
      </c>
      <c r="K14" s="353">
        <f>SUM(K7:K13)</f>
        <v>87791</v>
      </c>
      <c r="L14" s="261"/>
      <c r="M14" s="261"/>
      <c r="N14" s="353">
        <f>SUM(N7:N13)</f>
        <v>92425</v>
      </c>
      <c r="O14" s="353">
        <f>SUM(O7:O13)</f>
        <v>159680</v>
      </c>
      <c r="P14" s="351">
        <f>N14/O14</f>
        <v>0.5788138777555111</v>
      </c>
      <c r="Q14" s="353">
        <f>SUM(Q7:Q13)</f>
        <v>27090</v>
      </c>
    </row>
    <row r="15" spans="1:17" ht="12.75">
      <c r="A15" s="261"/>
      <c r="B15" s="261"/>
      <c r="C15" s="261"/>
      <c r="D15" s="261"/>
      <c r="E15" s="261"/>
      <c r="F15" s="261"/>
      <c r="G15" s="261"/>
      <c r="H15" s="261"/>
      <c r="I15" s="262"/>
      <c r="J15" s="262"/>
      <c r="K15" s="262"/>
      <c r="L15" s="262"/>
      <c r="M15" s="262"/>
      <c r="N15" s="262"/>
      <c r="O15" s="262"/>
      <c r="P15" s="262"/>
      <c r="Q15" s="262"/>
    </row>
    <row r="16" spans="1:17" ht="12.75">
      <c r="A16" s="261"/>
      <c r="B16" s="261"/>
      <c r="C16" s="261"/>
      <c r="D16" s="261"/>
      <c r="E16" s="261"/>
      <c r="F16" s="261"/>
      <c r="G16" s="261"/>
      <c r="H16" s="261"/>
      <c r="I16" s="262"/>
      <c r="J16" s="115"/>
      <c r="K16" s="115"/>
      <c r="L16" s="115"/>
      <c r="M16" s="115"/>
      <c r="N16" s="115"/>
      <c r="O16" s="115"/>
      <c r="P16" s="115"/>
      <c r="Q16" s="115"/>
    </row>
    <row r="17" spans="1:17" ht="12.75">
      <c r="A17" s="255" t="s">
        <v>74</v>
      </c>
      <c r="B17" s="256"/>
      <c r="C17" s="256"/>
      <c r="D17" s="256"/>
      <c r="E17" s="256"/>
      <c r="F17" s="256"/>
      <c r="G17" s="256"/>
      <c r="H17" s="357">
        <f>+Q14</f>
        <v>27090</v>
      </c>
      <c r="I17" s="262"/>
      <c r="J17" s="115"/>
      <c r="K17" s="115"/>
      <c r="L17" s="115"/>
      <c r="M17" s="115"/>
      <c r="N17" s="115"/>
      <c r="O17" s="115"/>
      <c r="P17" s="115"/>
      <c r="Q17" s="115"/>
    </row>
    <row r="18" spans="1:17" ht="12.75">
      <c r="A18" s="358"/>
      <c r="B18" s="359" t="s">
        <v>70</v>
      </c>
      <c r="C18" s="359"/>
      <c r="D18" s="359"/>
      <c r="E18" s="359"/>
      <c r="F18" s="359"/>
      <c r="G18" s="359"/>
      <c r="H18" s="360"/>
      <c r="I18" s="262"/>
      <c r="J18" s="211"/>
      <c r="K18" s="115"/>
      <c r="L18" s="115"/>
      <c r="M18" s="115"/>
      <c r="N18" s="115"/>
      <c r="O18" s="115"/>
      <c r="P18" s="115"/>
      <c r="Q18" s="115"/>
    </row>
    <row r="19" spans="1:17" ht="12.75">
      <c r="A19" s="261"/>
      <c r="B19" s="261"/>
      <c r="C19" s="261"/>
      <c r="D19" s="261"/>
      <c r="E19" s="261"/>
      <c r="F19" s="261"/>
      <c r="G19" s="261"/>
      <c r="H19" s="261"/>
      <c r="I19" s="262"/>
      <c r="J19" s="115"/>
      <c r="K19" s="115"/>
      <c r="L19" s="115"/>
      <c r="M19" s="115"/>
      <c r="N19" s="115"/>
      <c r="O19" s="115"/>
      <c r="P19" s="115"/>
      <c r="Q19" s="115"/>
    </row>
    <row r="20" spans="1:17" ht="12.75">
      <c r="A20" s="242" t="s">
        <v>71</v>
      </c>
      <c r="B20" s="243"/>
      <c r="C20" s="243"/>
      <c r="D20" s="243"/>
      <c r="E20" s="243"/>
      <c r="F20" s="243"/>
      <c r="G20" s="243"/>
      <c r="H20" s="361">
        <f>(H14/H17)-1</f>
        <v>0.06758951642672573</v>
      </c>
      <c r="I20" s="262"/>
      <c r="J20" s="115"/>
      <c r="K20" s="115"/>
      <c r="L20" s="115"/>
      <c r="M20" s="115"/>
      <c r="N20" s="115"/>
      <c r="O20" s="115"/>
      <c r="P20" s="115"/>
      <c r="Q20" s="115"/>
    </row>
    <row r="22" ht="12.75">
      <c r="A22" s="240" t="s">
        <v>242</v>
      </c>
    </row>
    <row r="23" ht="12.75">
      <c r="J23" s="240" t="s">
        <v>241</v>
      </c>
    </row>
    <row r="24" ht="12.75">
      <c r="A24" s="240" t="s">
        <v>243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6.28125" style="0" customWidth="1"/>
    <col min="4" max="4" width="14.8515625" style="0" customWidth="1"/>
  </cols>
  <sheetData>
    <row r="1" spans="1:4" ht="12.75">
      <c r="A1" s="208"/>
      <c r="B1" s="208"/>
      <c r="C1" s="208"/>
      <c r="D1" s="208"/>
    </row>
    <row r="2" spans="1:4" ht="12.75">
      <c r="A2" s="208"/>
      <c r="B2" s="261"/>
      <c r="C2" s="261"/>
      <c r="D2" s="362" t="s">
        <v>155</v>
      </c>
    </row>
    <row r="3" spans="1:4" ht="12.75">
      <c r="A3" s="208"/>
      <c r="B3" s="362"/>
      <c r="C3" s="261"/>
      <c r="D3" s="362" t="s">
        <v>57</v>
      </c>
    </row>
    <row r="4" spans="1:4" ht="12.75">
      <c r="A4" s="208"/>
      <c r="B4" s="261" t="s">
        <v>149</v>
      </c>
      <c r="C4" s="261"/>
      <c r="D4" s="363">
        <v>0.2</v>
      </c>
    </row>
    <row r="5" spans="1:4" ht="12.75">
      <c r="A5" s="208"/>
      <c r="B5" s="261" t="s">
        <v>150</v>
      </c>
      <c r="C5" s="261"/>
      <c r="D5" s="363">
        <v>0.05</v>
      </c>
    </row>
    <row r="6" spans="1:4" ht="12.75">
      <c r="A6" s="208"/>
      <c r="B6" s="261" t="s">
        <v>151</v>
      </c>
      <c r="C6" s="261"/>
      <c r="D6" s="363">
        <v>0.15</v>
      </c>
    </row>
    <row r="7" spans="1:4" ht="12.75">
      <c r="A7" s="208"/>
      <c r="B7" s="261" t="s">
        <v>152</v>
      </c>
      <c r="C7" s="261"/>
      <c r="D7" s="363">
        <v>-0.02</v>
      </c>
    </row>
    <row r="8" spans="1:4" ht="12.75">
      <c r="A8" s="208"/>
      <c r="B8" s="261"/>
      <c r="C8" s="261"/>
      <c r="D8" s="364"/>
    </row>
    <row r="9" spans="1:4" ht="12.75">
      <c r="A9" s="208"/>
      <c r="B9" s="261" t="s">
        <v>3</v>
      </c>
      <c r="C9" s="261"/>
      <c r="D9" s="365">
        <f>SUM(D4:D8)</f>
        <v>0.38</v>
      </c>
    </row>
    <row r="10" spans="1:4" ht="12.75">
      <c r="A10" s="208"/>
      <c r="B10" s="261"/>
      <c r="C10" s="261"/>
      <c r="D10" s="364"/>
    </row>
    <row r="11" spans="1:4" ht="12.75">
      <c r="A11" s="208"/>
      <c r="B11" s="261" t="s">
        <v>153</v>
      </c>
      <c r="C11" s="261"/>
      <c r="D11" s="365">
        <f>1-D9</f>
        <v>0.62</v>
      </c>
    </row>
    <row r="12" spans="1:4" ht="12.75">
      <c r="A12" s="208"/>
      <c r="B12" s="261" t="s">
        <v>154</v>
      </c>
      <c r="C12" s="261"/>
      <c r="D12" s="2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4.8515625" style="36" customWidth="1"/>
    <col min="2" max="2" width="11.28125" style="36" customWidth="1"/>
    <col min="3" max="3" width="6.140625" style="36" customWidth="1"/>
    <col min="4" max="4" width="6.8515625" style="36" customWidth="1"/>
    <col min="5" max="5" width="3.421875" style="36" customWidth="1"/>
    <col min="6" max="8" width="22.140625" style="36" customWidth="1"/>
    <col min="9" max="9" width="15.140625" style="36" customWidth="1"/>
    <col min="10" max="16384" width="12.57421875" style="36" customWidth="1"/>
  </cols>
  <sheetData>
    <row r="1" spans="1:9" ht="12.75">
      <c r="A1" s="202"/>
      <c r="B1" s="202"/>
      <c r="C1" s="202"/>
      <c r="D1" s="202"/>
      <c r="E1" s="202"/>
      <c r="F1" s="202"/>
      <c r="G1" s="202"/>
      <c r="H1" s="202"/>
      <c r="I1" s="407"/>
    </row>
    <row r="2" spans="1:9" ht="14.25" customHeight="1">
      <c r="A2" s="202"/>
      <c r="B2" s="202"/>
      <c r="C2" s="202"/>
      <c r="D2" s="202"/>
      <c r="E2" s="203"/>
      <c r="F2" s="203"/>
      <c r="G2" s="203"/>
      <c r="H2" s="203"/>
      <c r="I2" s="407"/>
    </row>
    <row r="3" spans="1:9" ht="17.25" customHeight="1">
      <c r="A3" s="202"/>
      <c r="B3" s="204" t="s">
        <v>108</v>
      </c>
      <c r="C3" s="205"/>
      <c r="D3" s="205"/>
      <c r="E3" s="205"/>
      <c r="F3" s="205"/>
      <c r="G3" s="205"/>
      <c r="H3" s="205"/>
      <c r="I3" s="408"/>
    </row>
    <row r="4" spans="1:9" ht="17.25" customHeight="1">
      <c r="A4" s="202"/>
      <c r="B4" s="204" t="s">
        <v>109</v>
      </c>
      <c r="C4" s="205"/>
      <c r="D4" s="203"/>
      <c r="E4" s="205"/>
      <c r="F4" s="205"/>
      <c r="G4" s="205"/>
      <c r="H4" s="203"/>
      <c r="I4" s="408"/>
    </row>
    <row r="5" spans="1:9" ht="17.25" customHeight="1">
      <c r="A5" s="202"/>
      <c r="B5" s="204" t="s">
        <v>110</v>
      </c>
      <c r="C5" s="205"/>
      <c r="D5" s="205"/>
      <c r="E5" s="203"/>
      <c r="F5" s="203"/>
      <c r="G5" s="203"/>
      <c r="H5" s="203"/>
      <c r="I5" s="408"/>
    </row>
    <row r="6" spans="1:9" ht="17.25" customHeight="1">
      <c r="A6" s="202"/>
      <c r="B6" s="206" t="s">
        <v>111</v>
      </c>
      <c r="C6" s="207"/>
      <c r="D6" s="207"/>
      <c r="E6" s="207"/>
      <c r="F6" s="207"/>
      <c r="G6" s="205"/>
      <c r="H6" s="205"/>
      <c r="I6" s="408"/>
    </row>
    <row r="7" spans="1:9" ht="17.25" customHeight="1">
      <c r="A7" s="202"/>
      <c r="B7" s="202"/>
      <c r="C7" s="202"/>
      <c r="D7" s="202"/>
      <c r="E7" s="202"/>
      <c r="F7" s="202"/>
      <c r="G7" s="202"/>
      <c r="H7" s="202"/>
      <c r="I7" s="407"/>
    </row>
    <row r="8" spans="1:9" ht="17.25" customHeight="1">
      <c r="A8" s="202"/>
      <c r="B8" s="202"/>
      <c r="C8" s="366" t="s">
        <v>110</v>
      </c>
      <c r="D8" s="367"/>
      <c r="E8" s="368"/>
      <c r="F8" s="368"/>
      <c r="G8" s="368"/>
      <c r="H8" s="368"/>
      <c r="I8" s="407"/>
    </row>
    <row r="9" spans="1:9" ht="12.75" customHeight="1">
      <c r="A9" s="202"/>
      <c r="B9" s="202"/>
      <c r="C9" s="366" t="s">
        <v>111</v>
      </c>
      <c r="D9" s="369"/>
      <c r="E9" s="369"/>
      <c r="F9" s="369"/>
      <c r="G9" s="367"/>
      <c r="H9" s="367"/>
      <c r="I9" s="408"/>
    </row>
    <row r="10" spans="1:9" ht="12.75" customHeight="1">
      <c r="A10" s="202"/>
      <c r="B10" s="202"/>
      <c r="C10" s="370" t="s">
        <v>112</v>
      </c>
      <c r="D10" s="371"/>
      <c r="E10" s="372" t="s">
        <v>113</v>
      </c>
      <c r="F10" s="373"/>
      <c r="G10" s="374" t="s">
        <v>114</v>
      </c>
      <c r="H10" s="373"/>
      <c r="I10" s="408"/>
    </row>
    <row r="11" spans="1:9" ht="12.75" customHeight="1">
      <c r="A11" s="202"/>
      <c r="B11" s="202"/>
      <c r="C11" s="375" t="s">
        <v>115</v>
      </c>
      <c r="D11" s="376"/>
      <c r="E11" s="377"/>
      <c r="F11" s="378"/>
      <c r="G11" s="379" t="s">
        <v>116</v>
      </c>
      <c r="H11" s="378"/>
      <c r="I11" s="407"/>
    </row>
    <row r="12" spans="1:9" ht="12.75" customHeight="1">
      <c r="A12" s="202"/>
      <c r="B12" s="202"/>
      <c r="C12" s="375" t="s">
        <v>55</v>
      </c>
      <c r="D12" s="376"/>
      <c r="E12" s="372" t="s">
        <v>113</v>
      </c>
      <c r="F12" s="380" t="s">
        <v>117</v>
      </c>
      <c r="G12" s="381" t="s">
        <v>118</v>
      </c>
      <c r="H12" s="382"/>
      <c r="I12" s="407"/>
    </row>
    <row r="13" spans="1:9" ht="12.75" customHeight="1">
      <c r="A13" s="202"/>
      <c r="B13" s="202"/>
      <c r="C13" s="375" t="s">
        <v>119</v>
      </c>
      <c r="D13" s="376"/>
      <c r="E13" s="383" t="s">
        <v>118</v>
      </c>
      <c r="F13" s="380" t="s">
        <v>120</v>
      </c>
      <c r="G13" s="381" t="s">
        <v>118</v>
      </c>
      <c r="H13" s="381" t="s">
        <v>118</v>
      </c>
      <c r="I13" s="409"/>
    </row>
    <row r="14" spans="1:9" ht="12.75" customHeight="1">
      <c r="A14" s="202"/>
      <c r="B14" s="202"/>
      <c r="C14" s="384" t="s">
        <v>37</v>
      </c>
      <c r="D14" s="385"/>
      <c r="E14" s="377"/>
      <c r="F14" s="380" t="s">
        <v>121</v>
      </c>
      <c r="G14" s="380" t="s">
        <v>122</v>
      </c>
      <c r="H14" s="380" t="s">
        <v>123</v>
      </c>
      <c r="I14" s="407"/>
    </row>
    <row r="15" spans="1:9" ht="12.75" customHeight="1">
      <c r="A15" s="202"/>
      <c r="B15" s="202"/>
      <c r="C15" s="386"/>
      <c r="D15" s="387"/>
      <c r="E15" s="377"/>
      <c r="F15" s="388"/>
      <c r="G15" s="388"/>
      <c r="H15" s="388"/>
      <c r="I15" s="407"/>
    </row>
    <row r="16" spans="1:9" ht="12.75" customHeight="1">
      <c r="A16" s="202"/>
      <c r="B16" s="202"/>
      <c r="C16" s="389" t="s">
        <v>124</v>
      </c>
      <c r="D16" s="390" t="s">
        <v>125</v>
      </c>
      <c r="E16" s="377"/>
      <c r="F16" s="391" t="s">
        <v>126</v>
      </c>
      <c r="G16" s="391" t="s">
        <v>126</v>
      </c>
      <c r="H16" s="391" t="s">
        <v>126</v>
      </c>
      <c r="I16" s="407"/>
    </row>
    <row r="17" spans="1:9" ht="12.75" customHeight="1">
      <c r="A17" s="202"/>
      <c r="B17" s="202"/>
      <c r="C17" s="389" t="s">
        <v>127</v>
      </c>
      <c r="D17" s="390">
        <f aca="true" t="shared" si="0" ref="D17:D25">+D18-1</f>
        <v>2001</v>
      </c>
      <c r="E17" s="392"/>
      <c r="F17" s="393">
        <v>0.731</v>
      </c>
      <c r="G17" s="393">
        <v>0.738</v>
      </c>
      <c r="H17" s="393">
        <v>0.724</v>
      </c>
      <c r="I17" s="410"/>
    </row>
    <row r="18" spans="1:9" ht="12.75" customHeight="1">
      <c r="A18" s="202"/>
      <c r="B18" s="202"/>
      <c r="C18" s="389" t="s">
        <v>128</v>
      </c>
      <c r="D18" s="390">
        <f t="shared" si="0"/>
        <v>2002</v>
      </c>
      <c r="E18" s="392"/>
      <c r="F18" s="393">
        <v>0.666</v>
      </c>
      <c r="G18" s="393">
        <v>0.659</v>
      </c>
      <c r="H18" s="393">
        <v>0.673</v>
      </c>
      <c r="I18" s="410"/>
    </row>
    <row r="19" spans="1:9" ht="12.75" customHeight="1">
      <c r="A19" s="202"/>
      <c r="B19" s="202"/>
      <c r="C19" s="389" t="s">
        <v>129</v>
      </c>
      <c r="D19" s="390">
        <f t="shared" si="0"/>
        <v>2003</v>
      </c>
      <c r="E19" s="392"/>
      <c r="F19" s="393">
        <v>0.703</v>
      </c>
      <c r="G19" s="393">
        <v>0.689</v>
      </c>
      <c r="H19" s="393">
        <v>0.717</v>
      </c>
      <c r="I19" s="410"/>
    </row>
    <row r="20" spans="1:9" ht="12.75" customHeight="1">
      <c r="A20" s="202"/>
      <c r="B20" s="202"/>
      <c r="C20" s="389" t="s">
        <v>130</v>
      </c>
      <c r="D20" s="390">
        <f t="shared" si="0"/>
        <v>2004</v>
      </c>
      <c r="E20" s="392"/>
      <c r="F20" s="393">
        <v>0.69</v>
      </c>
      <c r="G20" s="393">
        <v>0.706</v>
      </c>
      <c r="H20" s="393">
        <v>0.674</v>
      </c>
      <c r="I20" s="410"/>
    </row>
    <row r="21" spans="1:9" ht="12.75" customHeight="1">
      <c r="A21" s="202"/>
      <c r="B21" s="202"/>
      <c r="C21" s="389" t="s">
        <v>131</v>
      </c>
      <c r="D21" s="390">
        <f t="shared" si="0"/>
        <v>2005</v>
      </c>
      <c r="E21" s="392"/>
      <c r="F21" s="393">
        <v>0.741</v>
      </c>
      <c r="G21" s="393">
        <v>0.75</v>
      </c>
      <c r="H21" s="393">
        <v>0.732</v>
      </c>
      <c r="I21" s="410"/>
    </row>
    <row r="22" spans="1:9" ht="12.75" customHeight="1">
      <c r="A22" s="202"/>
      <c r="B22" s="202"/>
      <c r="C22" s="389" t="s">
        <v>132</v>
      </c>
      <c r="D22" s="390">
        <f t="shared" si="0"/>
        <v>2006</v>
      </c>
      <c r="E22" s="392"/>
      <c r="F22" s="393">
        <v>0.802</v>
      </c>
      <c r="G22" s="393">
        <v>0.833</v>
      </c>
      <c r="H22" s="393">
        <v>0.771</v>
      </c>
      <c r="I22" s="410"/>
    </row>
    <row r="23" spans="1:9" ht="12.75" customHeight="1">
      <c r="A23" s="202"/>
      <c r="B23" s="202"/>
      <c r="C23" s="389" t="s">
        <v>133</v>
      </c>
      <c r="D23" s="390">
        <f t="shared" si="0"/>
        <v>2007</v>
      </c>
      <c r="E23" s="392"/>
      <c r="F23" s="393">
        <v>0.605</v>
      </c>
      <c r="G23" s="393">
        <v>0.591</v>
      </c>
      <c r="H23" s="393">
        <v>0.619</v>
      </c>
      <c r="I23" s="410"/>
    </row>
    <row r="24" spans="1:9" ht="12.75" customHeight="1">
      <c r="A24" s="202"/>
      <c r="B24" s="202"/>
      <c r="C24" s="389" t="s">
        <v>134</v>
      </c>
      <c r="D24" s="390">
        <f t="shared" si="0"/>
        <v>2008</v>
      </c>
      <c r="E24" s="392"/>
      <c r="F24" s="393">
        <v>0.626</v>
      </c>
      <c r="G24" s="393">
        <v>0.613</v>
      </c>
      <c r="H24" s="393">
        <v>0.639</v>
      </c>
      <c r="I24" s="410"/>
    </row>
    <row r="25" spans="1:9" ht="12.75" customHeight="1">
      <c r="A25" s="202"/>
      <c r="B25" s="202"/>
      <c r="C25" s="389" t="s">
        <v>135</v>
      </c>
      <c r="D25" s="390">
        <f t="shared" si="0"/>
        <v>2009</v>
      </c>
      <c r="E25" s="392"/>
      <c r="F25" s="393">
        <v>0.667</v>
      </c>
      <c r="G25" s="393">
        <v>0.68</v>
      </c>
      <c r="H25" s="393">
        <v>0.654</v>
      </c>
      <c r="I25" s="410"/>
    </row>
    <row r="26" spans="1:9" ht="12.75" customHeight="1">
      <c r="A26" s="202"/>
      <c r="B26" s="202"/>
      <c r="C26" s="389" t="s">
        <v>136</v>
      </c>
      <c r="D26" s="394">
        <f>latest_year</f>
        <v>2010</v>
      </c>
      <c r="E26" s="392"/>
      <c r="F26" s="395">
        <v>0.67</v>
      </c>
      <c r="G26" s="395">
        <v>0.683</v>
      </c>
      <c r="H26" s="395">
        <v>0.657</v>
      </c>
      <c r="I26" s="410"/>
    </row>
    <row r="27" spans="1:9" ht="12.75" customHeight="1">
      <c r="A27" s="202"/>
      <c r="B27" s="202"/>
      <c r="C27" s="396"/>
      <c r="D27" s="397"/>
      <c r="E27" s="397"/>
      <c r="F27" s="397"/>
      <c r="G27" s="397"/>
      <c r="H27" s="398"/>
      <c r="I27" s="411"/>
    </row>
    <row r="28" spans="1:9" ht="12.75" customHeight="1">
      <c r="A28" s="202"/>
      <c r="B28" s="202"/>
      <c r="C28" s="399"/>
      <c r="D28" s="400" t="s">
        <v>137</v>
      </c>
      <c r="E28" s="401"/>
      <c r="F28" s="401"/>
      <c r="G28" s="401"/>
      <c r="H28" s="402">
        <f>AVERAGE(H24:H26)</f>
        <v>0.65</v>
      </c>
      <c r="I28" s="411">
        <f>AVERAGE(H24:H26)</f>
        <v>0.65</v>
      </c>
    </row>
    <row r="29" spans="1:9" ht="12.75" customHeight="1">
      <c r="A29" s="202"/>
      <c r="B29" s="202"/>
      <c r="C29" s="403"/>
      <c r="D29" s="404" t="s">
        <v>138</v>
      </c>
      <c r="E29" s="405"/>
      <c r="F29" s="405"/>
      <c r="G29" s="405"/>
      <c r="H29" s="406">
        <f>AVERAGE(H22:H26)</f>
        <v>0.6679999999999999</v>
      </c>
      <c r="I29" s="407"/>
    </row>
    <row r="30" spans="1:9" ht="12.75" customHeight="1">
      <c r="A30" s="202"/>
      <c r="B30" s="202"/>
      <c r="C30" s="202"/>
      <c r="D30" s="202"/>
      <c r="E30" s="202"/>
      <c r="F30" s="202"/>
      <c r="G30" s="202"/>
      <c r="H30" s="202"/>
      <c r="I30" s="407"/>
    </row>
    <row r="31" spans="1:9" ht="12.75" customHeight="1">
      <c r="A31" s="202"/>
      <c r="B31" s="202"/>
      <c r="C31" s="202"/>
      <c r="D31" s="202"/>
      <c r="E31" s="202"/>
      <c r="F31" s="202"/>
      <c r="G31" s="202"/>
      <c r="H31" s="202"/>
      <c r="I31" s="407"/>
    </row>
  </sheetData>
  <sheetProtection/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Updated May2007 L Halliwell</dc:description>
  <cp:lastModifiedBy>SOA USER</cp:lastModifiedBy>
  <cp:lastPrinted>2005-06-03T18:07:51Z</cp:lastPrinted>
  <dcterms:created xsi:type="dcterms:W3CDTF">1998-08-02T21:18:35Z</dcterms:created>
  <dcterms:modified xsi:type="dcterms:W3CDTF">2011-08-31T16:14:17Z</dcterms:modified>
  <cp:category/>
  <cp:version/>
  <cp:contentType/>
  <cp:contentStatus/>
</cp:coreProperties>
</file>