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260" windowHeight="8580" activeTab="0"/>
  </bookViews>
  <sheets>
    <sheet name="1a Basket Aggregate" sheetId="1" r:id="rId1"/>
    <sheet name="1b Basket Aggregate" sheetId="2" r:id="rId2"/>
    <sheet name="2 Profit Commission" sheetId="3" r:id="rId3"/>
    <sheet name="3a Capital Consumption" sheetId="4" r:id="rId4"/>
    <sheet name="3b Covariance Example" sheetId="5" r:id="rId5"/>
  </sheets>
  <definedNames>
    <definedName name="Attachment_Point" localSheetId="1">'1b Basket Aggregate'!$J$39</definedName>
    <definedName name="Attachment_Point">'1a Basket Aggregate'!$J$39</definedName>
    <definedName name="Probabilities">#REF!</definedName>
    <definedName name="Risk_to_Variance">'3b Covariance Example'!$J$38</definedName>
    <definedName name="Surplus">'3a Capital Consumption'!$J$38</definedName>
    <definedName name="X_Ray">#REF!</definedName>
  </definedNames>
  <calcPr fullCalcOnLoad="1"/>
</workbook>
</file>

<file path=xl/sharedStrings.xml><?xml version="1.0" encoding="utf-8"?>
<sst xmlns="http://schemas.openxmlformats.org/spreadsheetml/2006/main" count="217" uniqueCount="88">
  <si>
    <t>Scenario</t>
  </si>
  <si>
    <t>Total</t>
  </si>
  <si>
    <t>Line A</t>
  </si>
  <si>
    <t>Line B</t>
  </si>
  <si>
    <t>Line C</t>
  </si>
  <si>
    <t>Risk</t>
  </si>
  <si>
    <t>Mean</t>
  </si>
  <si>
    <t>Std Dev</t>
  </si>
  <si>
    <t>LN Mu</t>
  </si>
  <si>
    <t>LN Sigma</t>
  </si>
  <si>
    <t>C.V.</t>
  </si>
  <si>
    <t>Average</t>
  </si>
  <si>
    <t>Total Loss by Line of Business</t>
  </si>
  <si>
    <t>Allocated Excess Loss</t>
  </si>
  <si>
    <t>Mean Loss</t>
  </si>
  <si>
    <t>Premium</t>
  </si>
  <si>
    <t>Expense %</t>
  </si>
  <si>
    <t>% Returned</t>
  </si>
  <si>
    <t>Allocated Profit Commission</t>
  </si>
  <si>
    <t>Profit</t>
  </si>
  <si>
    <t>Allocation of Excess Loss to LOB for a "Basket Aggregate"</t>
  </si>
  <si>
    <t>Allocation of 3-Year-Block Profit Commission to Year</t>
  </si>
  <si>
    <t>Total Loss by Policy Year</t>
  </si>
  <si>
    <t>3 Yr Total</t>
  </si>
  <si>
    <t>excess of</t>
  </si>
  <si>
    <t>ELR</t>
  </si>
  <si>
    <t>Aggregate Limit:</t>
  </si>
  <si>
    <t>Capped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</si>
  <si>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</si>
  <si>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3</t>
    </r>
  </si>
  <si>
    <r>
      <t>X</t>
    </r>
    <r>
      <rPr>
        <vertAlign val="subscript"/>
        <sz val="10"/>
        <rFont val="Arial"/>
        <family val="2"/>
      </rPr>
      <t>2</t>
    </r>
  </si>
  <si>
    <t>X</t>
  </si>
  <si>
    <t>Formula:</t>
  </si>
  <si>
    <t>(simulation results)</t>
  </si>
  <si>
    <t>Profit or Loss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</si>
  <si>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-AP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</si>
  <si>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-AP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</si>
  <si>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-AP</t>
    </r>
    <r>
      <rPr>
        <vertAlign val="subscript"/>
        <sz val="10"/>
        <rFont val="Arial"/>
        <family val="2"/>
      </rPr>
      <t>3</t>
    </r>
  </si>
  <si>
    <r>
      <t>X</t>
    </r>
    <r>
      <rPr>
        <sz val="10"/>
        <rFont val="Arial"/>
        <family val="0"/>
      </rPr>
      <t>-AP</t>
    </r>
  </si>
  <si>
    <t>r(x)</t>
  </si>
  <si>
    <t>Capital Consumption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</si>
  <si>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</t>
    </r>
    <r>
      <rPr>
        <sz val="10"/>
        <rFont val="Arial"/>
        <family val="2"/>
      </rPr>
      <t>μ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</si>
  <si>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</t>
    </r>
    <r>
      <rPr>
        <sz val="10"/>
        <rFont val="Arial"/>
        <family val="2"/>
      </rPr>
      <t>μ</t>
    </r>
    <r>
      <rPr>
        <vertAlign val="subscript"/>
        <sz val="10"/>
        <rFont val="Arial"/>
        <family val="2"/>
      </rPr>
      <t>2</t>
    </r>
  </si>
  <si>
    <r>
      <t>X</t>
    </r>
    <r>
      <rPr>
        <sz val="10"/>
        <rFont val="Arial"/>
        <family val="0"/>
      </rPr>
      <t>-</t>
    </r>
    <r>
      <rPr>
        <sz val="10"/>
        <rFont val="Arial"/>
        <family val="2"/>
      </rPr>
      <t>μ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</si>
  <si>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</t>
    </r>
    <r>
      <rPr>
        <sz val="10"/>
        <rFont val="Arial"/>
        <family val="2"/>
      </rPr>
      <t>μ</t>
    </r>
    <r>
      <rPr>
        <vertAlign val="subscript"/>
        <sz val="10"/>
        <rFont val="Arial"/>
        <family val="2"/>
      </rPr>
      <t>3</t>
    </r>
  </si>
  <si>
    <t>Riskiness</t>
  </si>
  <si>
    <t>Leverage</t>
  </si>
  <si>
    <t>Available Surplus:</t>
  </si>
  <si>
    <t>Capital</t>
  </si>
  <si>
    <t>Capital Consumed</t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</si>
  <si>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1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</si>
  <si>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</si>
  <si>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3</t>
    </r>
  </si>
  <si>
    <r>
      <t>P</t>
    </r>
    <r>
      <rPr>
        <sz val="10"/>
        <rFont val="Arial"/>
        <family val="0"/>
      </rPr>
      <t>-E</t>
    </r>
    <r>
      <rPr>
        <sz val="10"/>
        <rFont val="Arial"/>
        <family val="0"/>
      </rPr>
      <t>-X</t>
    </r>
  </si>
  <si>
    <t>Loss Compared to Expected Loss</t>
  </si>
  <si>
    <t>Note:  This is now equivalent to Covariance.</t>
  </si>
  <si>
    <t>Allocation of Risk Measure</t>
  </si>
  <si>
    <t>Risk as % of Variance:</t>
  </si>
  <si>
    <t>Capital Consumption (Risk Measure = Variance)</t>
  </si>
  <si>
    <t>L(x)</t>
  </si>
  <si>
    <t>Exhibit 1a</t>
  </si>
  <si>
    <t>Exhibit 2</t>
  </si>
  <si>
    <t>Exhibit 3a</t>
  </si>
  <si>
    <t>Exhibit 3b</t>
  </si>
  <si>
    <t>Exhibit 1b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</si>
  <si>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-0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</si>
  <si>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-0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</si>
  <si>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-0</t>
    </r>
  </si>
  <si>
    <t>X-0</t>
  </si>
  <si>
    <t>Removing Potential for Allocation of Negative Values</t>
  </si>
  <si>
    <r>
      <t>[X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-AP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] · L(x)</t>
    </r>
  </si>
  <si>
    <r>
      <t>[X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-0</t>
    </r>
    <r>
      <rPr>
        <sz val="10"/>
        <rFont val="Arial"/>
        <family val="2"/>
      </rPr>
      <t>] · L(x)</t>
    </r>
  </si>
  <si>
    <r>
      <t>[P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] · L(x)</t>
    </r>
  </si>
  <si>
    <r>
      <t>[</t>
    </r>
    <r>
      <rPr>
        <sz val="10"/>
        <rFont val="Arial"/>
        <family val="0"/>
      </rPr>
      <t>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-μ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] · L(x)</t>
    </r>
  </si>
  <si>
    <t>Loss Compared to Attachment Point of 0</t>
  </si>
  <si>
    <t>Loss Compared to Attachment Point (AP)</t>
  </si>
  <si>
    <r>
      <t>Mean (</t>
    </r>
    <r>
      <rPr>
        <sz val="10"/>
        <rFont val="Times New Roman"/>
        <family val="1"/>
      </rPr>
      <t>μ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</si>
  <si>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>Attachment Point (AP):</t>
  </si>
  <si>
    <t>Portion**</t>
  </si>
  <si>
    <t>Percent</t>
  </si>
  <si>
    <t>of Total</t>
  </si>
  <si>
    <t>Loss**</t>
  </si>
  <si>
    <t>Comm*</t>
  </si>
  <si>
    <t>PC %**</t>
  </si>
  <si>
    <t>Ratio**</t>
  </si>
  <si>
    <t>Consm'd*</t>
  </si>
  <si>
    <t>(variance)</t>
  </si>
  <si>
    <t>Measure*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</si>
</sst>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  <numFmt numFmtId="167" formatCode="0.000"/>
    <numFmt numFmtId="168" formatCode="0.000000000000000"/>
    <numFmt numFmtId="169" formatCode="#,##0.0"/>
  </numFmts>
  <fonts count="10">
    <font>
      <sz val="10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vertAlign val="subscript"/>
      <sz val="10"/>
      <name val="Arial"/>
      <family val="2"/>
    </font>
    <font>
      <sz val="10"/>
      <color indexed="17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Alignment="1">
      <alignment horizontal="centerContinuous"/>
    </xf>
    <xf numFmtId="10" fontId="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7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centerContinuous"/>
    </xf>
    <xf numFmtId="3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workbookViewId="0" topLeftCell="A1">
      <selection activeCell="D3" sqref="D3"/>
    </sheetView>
  </sheetViews>
  <sheetFormatPr defaultColWidth="9.140625" defaultRowHeight="12.75"/>
  <cols>
    <col min="1" max="5" width="10.7109375" style="0" customWidth="1"/>
    <col min="6" max="6" width="1.7109375" style="0" customWidth="1"/>
    <col min="7" max="10" width="10.7109375" style="0" customWidth="1"/>
    <col min="11" max="12" width="9.7109375" style="0" customWidth="1"/>
    <col min="13" max="13" width="1.7109375" style="0" customWidth="1"/>
    <col min="14" max="17" width="9.7109375" style="0" customWidth="1"/>
  </cols>
  <sheetData>
    <row r="1" spans="2:4" ht="15.75">
      <c r="B1" s="6" t="s">
        <v>60</v>
      </c>
      <c r="D1" s="6" t="s">
        <v>20</v>
      </c>
    </row>
    <row r="5" spans="2:16" ht="12.75">
      <c r="B5" s="23" t="s">
        <v>12</v>
      </c>
      <c r="C5" s="23"/>
      <c r="D5" s="23"/>
      <c r="E5" s="23"/>
      <c r="G5" s="11" t="s">
        <v>75</v>
      </c>
      <c r="H5" s="11"/>
      <c r="I5" s="11"/>
      <c r="J5" s="11"/>
      <c r="N5" s="11" t="s">
        <v>13</v>
      </c>
      <c r="O5" s="11"/>
      <c r="P5" s="11"/>
    </row>
    <row r="6" spans="2:16" ht="12.75">
      <c r="B6" s="22" t="s">
        <v>33</v>
      </c>
      <c r="C6" s="11"/>
      <c r="D6" s="11"/>
      <c r="E6" s="4"/>
      <c r="K6" s="17" t="str">
        <f>TEXT($J$38,"0.0%")</f>
        <v>20.0%</v>
      </c>
      <c r="N6" s="11"/>
      <c r="O6" s="11"/>
      <c r="P6" s="11"/>
    </row>
    <row r="7" spans="11:12" ht="12.75">
      <c r="K7" s="17" t="s">
        <v>24</v>
      </c>
      <c r="L7" s="3" t="s">
        <v>27</v>
      </c>
    </row>
    <row r="8" spans="1:17" ht="12.75">
      <c r="A8" s="14" t="s">
        <v>0</v>
      </c>
      <c r="B8" s="13" t="s">
        <v>2</v>
      </c>
      <c r="C8" s="13" t="s">
        <v>3</v>
      </c>
      <c r="D8" s="13" t="s">
        <v>4</v>
      </c>
      <c r="E8" s="13" t="s">
        <v>1</v>
      </c>
      <c r="F8" s="13"/>
      <c r="G8" s="13" t="s">
        <v>2</v>
      </c>
      <c r="H8" s="13" t="s">
        <v>3</v>
      </c>
      <c r="I8" s="13" t="s">
        <v>4</v>
      </c>
      <c r="J8" s="13" t="s">
        <v>1</v>
      </c>
      <c r="K8" s="18" t="str">
        <f>TEXT(Attachment_Point,"0.0%")&amp;"*"</f>
        <v>80.0%*</v>
      </c>
      <c r="L8" s="13" t="s">
        <v>78</v>
      </c>
      <c r="M8" s="15"/>
      <c r="N8" s="13" t="s">
        <v>2</v>
      </c>
      <c r="O8" s="13" t="s">
        <v>3</v>
      </c>
      <c r="P8" s="13" t="s">
        <v>4</v>
      </c>
      <c r="Q8" s="13" t="s">
        <v>1</v>
      </c>
    </row>
    <row r="9" spans="1:11" ht="12.75">
      <c r="A9" s="1"/>
      <c r="K9" s="5"/>
    </row>
    <row r="10" spans="1:17" ht="15.75">
      <c r="A10" s="1" t="s">
        <v>32</v>
      </c>
      <c r="B10" s="3" t="s">
        <v>28</v>
      </c>
      <c r="C10" s="3" t="s">
        <v>30</v>
      </c>
      <c r="D10" s="3" t="s">
        <v>29</v>
      </c>
      <c r="E10" s="3" t="s">
        <v>31</v>
      </c>
      <c r="G10" s="3" t="s">
        <v>35</v>
      </c>
      <c r="H10" s="3" t="s">
        <v>36</v>
      </c>
      <c r="I10" s="3" t="s">
        <v>37</v>
      </c>
      <c r="J10" s="3" t="s">
        <v>38</v>
      </c>
      <c r="K10" s="3" t="s">
        <v>39</v>
      </c>
      <c r="L10" s="3" t="s">
        <v>59</v>
      </c>
      <c r="N10" s="26" t="s">
        <v>70</v>
      </c>
      <c r="O10" s="4"/>
      <c r="P10" s="4"/>
      <c r="Q10" s="4"/>
    </row>
    <row r="11" spans="1:11" ht="12.75">
      <c r="A11" s="1"/>
      <c r="K11" s="5"/>
    </row>
    <row r="12" spans="1:17" ht="12.75">
      <c r="A12" s="1">
        <v>1</v>
      </c>
      <c r="B12" s="7">
        <v>428.4145414035145</v>
      </c>
      <c r="C12" s="7">
        <v>1925.6705208595365</v>
      </c>
      <c r="D12" s="7">
        <v>2253.699170568248</v>
      </c>
      <c r="E12" s="7">
        <f aca="true" t="shared" si="0" ref="E12:E19">B12+C12+D12</f>
        <v>4607.784232831299</v>
      </c>
      <c r="F12" s="7"/>
      <c r="G12" s="7">
        <f aca="true" t="shared" si="1" ref="G12:G19">B12-B$36*Attachment_Point</f>
        <v>-571.5854585964855</v>
      </c>
      <c r="H12" s="7">
        <f aca="true" t="shared" si="2" ref="H12:H19">C12-C$36*Attachment_Point</f>
        <v>425.6705208595365</v>
      </c>
      <c r="I12" s="7">
        <f aca="true" t="shared" si="3" ref="I12:I19">D12-D$36*Attachment_Point</f>
        <v>533.6991705682481</v>
      </c>
      <c r="J12" s="7">
        <f aca="true" t="shared" si="4" ref="J12:J19">E12-E$36*Attachment_Point</f>
        <v>387.78423283129905</v>
      </c>
      <c r="K12" s="16">
        <f aca="true" t="shared" si="5" ref="K12:K21">MIN(MAX(E12-E$36*Attachment_Point,0),E$36*$J$38)</f>
        <v>387.78423283129905</v>
      </c>
      <c r="L12" s="19">
        <f aca="true" t="shared" si="6" ref="L12:L19">IF(K12&gt;0,K12/J12,0)</f>
        <v>1</v>
      </c>
      <c r="N12" s="7">
        <f aca="true" t="shared" si="7" ref="N12:N19">G12*$L12</f>
        <v>-571.5854585964855</v>
      </c>
      <c r="O12" s="7">
        <f aca="true" t="shared" si="8" ref="O12:O19">H12*$L12</f>
        <v>425.6705208595365</v>
      </c>
      <c r="P12" s="7">
        <f aca="true" t="shared" si="9" ref="P12:P19">I12*$L12</f>
        <v>533.6991705682481</v>
      </c>
      <c r="Q12" s="7">
        <f>N12+O12+P12</f>
        <v>387.78423283129905</v>
      </c>
    </row>
    <row r="13" spans="1:17" ht="12.75">
      <c r="A13" s="1">
        <f>A12+1</f>
        <v>2</v>
      </c>
      <c r="B13" s="7">
        <v>516.1815303926596</v>
      </c>
      <c r="C13" s="7">
        <v>772.5836784525857</v>
      </c>
      <c r="D13" s="7">
        <v>1267.1626279383834</v>
      </c>
      <c r="E13" s="7">
        <f t="shared" si="0"/>
        <v>2555.9278367836287</v>
      </c>
      <c r="F13" s="7"/>
      <c r="G13" s="7">
        <f t="shared" si="1"/>
        <v>-483.8184696073404</v>
      </c>
      <c r="H13" s="7">
        <f t="shared" si="2"/>
        <v>-727.4163215474143</v>
      </c>
      <c r="I13" s="7">
        <f t="shared" si="3"/>
        <v>-452.83737206161663</v>
      </c>
      <c r="J13" s="7">
        <f t="shared" si="4"/>
        <v>-1664.0721632163713</v>
      </c>
      <c r="K13" s="16">
        <f t="shared" si="5"/>
        <v>0</v>
      </c>
      <c r="L13" s="19">
        <f t="shared" si="6"/>
        <v>0</v>
      </c>
      <c r="N13" s="7">
        <f t="shared" si="7"/>
        <v>0</v>
      </c>
      <c r="O13" s="7">
        <f t="shared" si="8"/>
        <v>0</v>
      </c>
      <c r="P13" s="7">
        <f t="shared" si="9"/>
        <v>0</v>
      </c>
      <c r="Q13" s="7">
        <f aca="true" t="shared" si="10" ref="Q13:Q19">N13+O13+P13</f>
        <v>0</v>
      </c>
    </row>
    <row r="14" spans="1:17" ht="12.75">
      <c r="A14" s="1">
        <f aca="true" t="shared" si="11" ref="A14:A19">A13+1</f>
        <v>3</v>
      </c>
      <c r="B14" s="7">
        <v>1276.5013170847797</v>
      </c>
      <c r="C14" s="7">
        <v>656.5480297887426</v>
      </c>
      <c r="D14" s="7">
        <v>532.4857882110176</v>
      </c>
      <c r="E14" s="7">
        <f t="shared" si="0"/>
        <v>2465.53513508454</v>
      </c>
      <c r="F14" s="7"/>
      <c r="G14" s="7">
        <f t="shared" si="1"/>
        <v>276.50131708477966</v>
      </c>
      <c r="H14" s="7">
        <f t="shared" si="2"/>
        <v>-843.4519702112574</v>
      </c>
      <c r="I14" s="7">
        <f t="shared" si="3"/>
        <v>-1187.5142117889823</v>
      </c>
      <c r="J14" s="7">
        <f t="shared" si="4"/>
        <v>-1754.46486491546</v>
      </c>
      <c r="K14" s="16">
        <f t="shared" si="5"/>
        <v>0</v>
      </c>
      <c r="L14" s="19">
        <f t="shared" si="6"/>
        <v>0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</row>
    <row r="15" spans="1:17" ht="12.75">
      <c r="A15" s="1">
        <f t="shared" si="11"/>
        <v>4</v>
      </c>
      <c r="B15" s="7">
        <v>1181.9464585505643</v>
      </c>
      <c r="C15" s="7">
        <v>2525.14717277627</v>
      </c>
      <c r="D15" s="7">
        <v>821.643670325663</v>
      </c>
      <c r="E15" s="7">
        <f t="shared" si="0"/>
        <v>4528.737301652497</v>
      </c>
      <c r="F15" s="7"/>
      <c r="G15" s="7">
        <f t="shared" si="1"/>
        <v>181.94645855056433</v>
      </c>
      <c r="H15" s="7">
        <f t="shared" si="2"/>
        <v>1025.14717277627</v>
      </c>
      <c r="I15" s="7">
        <f t="shared" si="3"/>
        <v>-898.356329674337</v>
      </c>
      <c r="J15" s="7">
        <f t="shared" si="4"/>
        <v>308.7373016524971</v>
      </c>
      <c r="K15" s="16">
        <f t="shared" si="5"/>
        <v>308.7373016524971</v>
      </c>
      <c r="L15" s="19">
        <f t="shared" si="6"/>
        <v>1</v>
      </c>
      <c r="N15" s="7">
        <f t="shared" si="7"/>
        <v>181.94645855056433</v>
      </c>
      <c r="O15" s="7">
        <f t="shared" si="8"/>
        <v>1025.14717277627</v>
      </c>
      <c r="P15" s="7">
        <f t="shared" si="9"/>
        <v>-898.356329674337</v>
      </c>
      <c r="Q15" s="7">
        <f t="shared" si="10"/>
        <v>308.7373016524974</v>
      </c>
    </row>
    <row r="16" spans="1:17" ht="12.75">
      <c r="A16" s="1">
        <f t="shared" si="11"/>
        <v>5</v>
      </c>
      <c r="B16" s="7">
        <v>824.6992093047278</v>
      </c>
      <c r="C16" s="7">
        <v>781.1243644583686</v>
      </c>
      <c r="D16" s="7">
        <v>1822.0785669402032</v>
      </c>
      <c r="E16" s="7">
        <f t="shared" si="0"/>
        <v>3427.9021407032997</v>
      </c>
      <c r="F16" s="7"/>
      <c r="G16" s="7">
        <f t="shared" si="1"/>
        <v>-175.3007906952722</v>
      </c>
      <c r="H16" s="7">
        <f t="shared" si="2"/>
        <v>-718.8756355416314</v>
      </c>
      <c r="I16" s="7">
        <f t="shared" si="3"/>
        <v>102.07856694020325</v>
      </c>
      <c r="J16" s="7">
        <f t="shared" si="4"/>
        <v>-792.0978592967003</v>
      </c>
      <c r="K16" s="16">
        <f t="shared" si="5"/>
        <v>0</v>
      </c>
      <c r="L16" s="19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</row>
    <row r="17" spans="1:17" ht="12.75">
      <c r="A17" s="1">
        <f t="shared" si="11"/>
        <v>6</v>
      </c>
      <c r="B17" s="7">
        <v>1563.6386146267002</v>
      </c>
      <c r="C17" s="7">
        <v>1074.6588555576398</v>
      </c>
      <c r="D17" s="7">
        <v>307.0660690329959</v>
      </c>
      <c r="E17" s="7">
        <f t="shared" si="0"/>
        <v>2945.363539217336</v>
      </c>
      <c r="F17" s="7"/>
      <c r="G17" s="7">
        <f t="shared" si="1"/>
        <v>563.6386146267002</v>
      </c>
      <c r="H17" s="7">
        <f t="shared" si="2"/>
        <v>-425.34114444236025</v>
      </c>
      <c r="I17" s="7">
        <f t="shared" si="3"/>
        <v>-1412.933930967004</v>
      </c>
      <c r="J17" s="7">
        <f t="shared" si="4"/>
        <v>-1274.636460782664</v>
      </c>
      <c r="K17" s="16">
        <f t="shared" si="5"/>
        <v>0</v>
      </c>
      <c r="L17" s="19">
        <f t="shared" si="6"/>
        <v>0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</row>
    <row r="18" spans="1:17" ht="12.75">
      <c r="A18" s="1">
        <f t="shared" si="11"/>
        <v>7</v>
      </c>
      <c r="B18" s="7">
        <v>1009.06828136903</v>
      </c>
      <c r="C18" s="7">
        <v>903.9324544838079</v>
      </c>
      <c r="D18" s="7">
        <v>685.0639670081231</v>
      </c>
      <c r="E18" s="7">
        <f t="shared" si="0"/>
        <v>2598.064702860961</v>
      </c>
      <c r="F18" s="7"/>
      <c r="G18" s="7">
        <f t="shared" si="1"/>
        <v>9.068281369030046</v>
      </c>
      <c r="H18" s="7">
        <f t="shared" si="2"/>
        <v>-596.0675455161921</v>
      </c>
      <c r="I18" s="7">
        <f t="shared" si="3"/>
        <v>-1034.9360329918768</v>
      </c>
      <c r="J18" s="7">
        <f t="shared" si="4"/>
        <v>-1621.935297139039</v>
      </c>
      <c r="K18" s="16">
        <f t="shared" si="5"/>
        <v>0</v>
      </c>
      <c r="L18" s="19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</row>
    <row r="19" spans="1:17" ht="12.75">
      <c r="A19" s="1">
        <f t="shared" si="11"/>
        <v>8</v>
      </c>
      <c r="B19" s="7">
        <v>1162.4115246496685</v>
      </c>
      <c r="C19" s="7">
        <v>1448.8389168363865</v>
      </c>
      <c r="D19" s="7">
        <v>1699.2036093721485</v>
      </c>
      <c r="E19" s="7">
        <f t="shared" si="0"/>
        <v>4310.454050858203</v>
      </c>
      <c r="F19" s="7"/>
      <c r="G19" s="7">
        <f t="shared" si="1"/>
        <v>162.41152464966854</v>
      </c>
      <c r="H19" s="7">
        <f t="shared" si="2"/>
        <v>-51.16108316361351</v>
      </c>
      <c r="I19" s="7">
        <f t="shared" si="3"/>
        <v>-20.79639062785145</v>
      </c>
      <c r="J19" s="7">
        <f t="shared" si="4"/>
        <v>90.45405085820312</v>
      </c>
      <c r="K19" s="16">
        <f t="shared" si="5"/>
        <v>90.45405085820312</v>
      </c>
      <c r="L19" s="19">
        <f t="shared" si="6"/>
        <v>1</v>
      </c>
      <c r="N19" s="7">
        <f t="shared" si="7"/>
        <v>162.41152464966854</v>
      </c>
      <c r="O19" s="7">
        <f t="shared" si="8"/>
        <v>-51.16108316361351</v>
      </c>
      <c r="P19" s="7">
        <f t="shared" si="9"/>
        <v>-20.79639062785145</v>
      </c>
      <c r="Q19" s="7">
        <f t="shared" si="10"/>
        <v>90.45405085820357</v>
      </c>
    </row>
    <row r="20" spans="1:17" ht="12.75">
      <c r="A20" s="1">
        <f>A19+1</f>
        <v>9</v>
      </c>
      <c r="B20" s="7">
        <v>512.9946934239085</v>
      </c>
      <c r="C20" s="7">
        <v>2485.774941478288</v>
      </c>
      <c r="D20" s="7">
        <v>1277.927977511954</v>
      </c>
      <c r="E20" s="7">
        <f>B20+C20+D20</f>
        <v>4276.69761241415</v>
      </c>
      <c r="F20" s="7"/>
      <c r="G20" s="7">
        <f aca="true" t="shared" si="12" ref="G20:J21">B20-B$36*Attachment_Point</f>
        <v>-487.00530657609147</v>
      </c>
      <c r="H20" s="7">
        <f t="shared" si="12"/>
        <v>985.7749414782879</v>
      </c>
      <c r="I20" s="7">
        <f t="shared" si="12"/>
        <v>-442.07202248804606</v>
      </c>
      <c r="J20" s="7">
        <f t="shared" si="12"/>
        <v>56.69761241415017</v>
      </c>
      <c r="K20" s="16">
        <f t="shared" si="5"/>
        <v>56.69761241415017</v>
      </c>
      <c r="L20" s="19">
        <f>IF(K20&gt;0,K20/J20,0)</f>
        <v>1</v>
      </c>
      <c r="N20" s="7">
        <f aca="true" t="shared" si="13" ref="N20:P21">G20*$L20</f>
        <v>-487.00530657609147</v>
      </c>
      <c r="O20" s="7">
        <f t="shared" si="13"/>
        <v>985.7749414782879</v>
      </c>
      <c r="P20" s="7">
        <f t="shared" si="13"/>
        <v>-442.07202248804606</v>
      </c>
      <c r="Q20" s="7">
        <f>N20+O20+P20</f>
        <v>56.6976124141504</v>
      </c>
    </row>
    <row r="21" spans="1:17" ht="12.75">
      <c r="A21" s="1">
        <f>A20+1</f>
        <v>10</v>
      </c>
      <c r="B21" s="7">
        <v>741.9108101425868</v>
      </c>
      <c r="C21" s="7">
        <v>1444.0160249534422</v>
      </c>
      <c r="D21" s="7">
        <v>6812.52969287613</v>
      </c>
      <c r="E21" s="7">
        <f>B21+C21+D21</f>
        <v>8998.45652797216</v>
      </c>
      <c r="F21" s="7"/>
      <c r="G21" s="7">
        <f t="shared" si="12"/>
        <v>-258.0891898574132</v>
      </c>
      <c r="H21" s="7">
        <f t="shared" si="12"/>
        <v>-55.983975046557816</v>
      </c>
      <c r="I21" s="7">
        <f t="shared" si="12"/>
        <v>5092.52969287613</v>
      </c>
      <c r="J21" s="7">
        <f t="shared" si="12"/>
        <v>4778.456527972159</v>
      </c>
      <c r="K21" s="16">
        <f t="shared" si="5"/>
        <v>1055</v>
      </c>
      <c r="L21" s="19">
        <f>IF(K21&gt;0,K21/J21,0)</f>
        <v>0.22078258823204402</v>
      </c>
      <c r="N21" s="7">
        <f t="shared" si="13"/>
        <v>-56.98159933143109</v>
      </c>
      <c r="O21" s="7">
        <f t="shared" si="13"/>
        <v>-12.360286910297202</v>
      </c>
      <c r="P21" s="7">
        <f t="shared" si="13"/>
        <v>1124.3418862417282</v>
      </c>
      <c r="Q21" s="7">
        <f>N21+O21+P21</f>
        <v>1054.9999999999998</v>
      </c>
    </row>
    <row r="22" spans="1:17" ht="12.75">
      <c r="A22" s="1">
        <f aca="true" t="shared" si="14" ref="A22:A31">A21+1</f>
        <v>11</v>
      </c>
      <c r="B22" s="7">
        <v>991.7464460607722</v>
      </c>
      <c r="C22" s="7">
        <v>729.8318094770127</v>
      </c>
      <c r="D22" s="7">
        <v>944.5262963460343</v>
      </c>
      <c r="E22" s="7">
        <f aca="true" t="shared" si="15" ref="E22:E31">B22+C22+D22</f>
        <v>2666.104551883819</v>
      </c>
      <c r="F22" s="7"/>
      <c r="G22" s="7">
        <f aca="true" t="shared" si="16" ref="G22:G31">B22-B$36*Attachment_Point</f>
        <v>-8.2535539392278</v>
      </c>
      <c r="H22" s="7">
        <f aca="true" t="shared" si="17" ref="H22:H31">C22-C$36*Attachment_Point</f>
        <v>-770.1681905229873</v>
      </c>
      <c r="I22" s="7">
        <f aca="true" t="shared" si="18" ref="I22:I31">D22-D$36*Attachment_Point</f>
        <v>-775.4737036539657</v>
      </c>
      <c r="J22" s="7">
        <f aca="true" t="shared" si="19" ref="J22:J31">E22-E$36*Attachment_Point</f>
        <v>-1553.895448116181</v>
      </c>
      <c r="K22" s="16">
        <f aca="true" t="shared" si="20" ref="K22:K31">MIN(MAX(E22-E$36*Attachment_Point,0),E$36*$J$38)</f>
        <v>0</v>
      </c>
      <c r="L22" s="19">
        <f aca="true" t="shared" si="21" ref="L22:L31">IF(K22&gt;0,K22/J22,0)</f>
        <v>0</v>
      </c>
      <c r="N22" s="7">
        <f aca="true" t="shared" si="22" ref="N22:N31">G22*$L22</f>
        <v>0</v>
      </c>
      <c r="O22" s="7">
        <f aca="true" t="shared" si="23" ref="O22:O31">H22*$L22</f>
        <v>0</v>
      </c>
      <c r="P22" s="7">
        <f aca="true" t="shared" si="24" ref="P22:P31">I22*$L22</f>
        <v>0</v>
      </c>
      <c r="Q22" s="7">
        <f aca="true" t="shared" si="25" ref="Q22:Q31">N22+O22+P22</f>
        <v>0</v>
      </c>
    </row>
    <row r="23" spans="1:17" ht="12.75">
      <c r="A23" s="1">
        <f t="shared" si="14"/>
        <v>12</v>
      </c>
      <c r="B23" s="7">
        <v>1297.5647043986366</v>
      </c>
      <c r="C23" s="7">
        <v>755.789521267587</v>
      </c>
      <c r="D23" s="7">
        <v>2481.5387208418783</v>
      </c>
      <c r="E23" s="7">
        <f t="shared" si="15"/>
        <v>4534.892946508102</v>
      </c>
      <c r="F23" s="7"/>
      <c r="G23" s="7">
        <f t="shared" si="16"/>
        <v>297.56470439863665</v>
      </c>
      <c r="H23" s="7">
        <f t="shared" si="17"/>
        <v>-744.210478732413</v>
      </c>
      <c r="I23" s="7">
        <f t="shared" si="18"/>
        <v>761.5387208418783</v>
      </c>
      <c r="J23" s="7">
        <f t="shared" si="19"/>
        <v>314.8929465081019</v>
      </c>
      <c r="K23" s="16">
        <f t="shared" si="20"/>
        <v>314.8929465081019</v>
      </c>
      <c r="L23" s="19">
        <f t="shared" si="21"/>
        <v>1</v>
      </c>
      <c r="N23" s="7">
        <f t="shared" si="22"/>
        <v>297.56470439863665</v>
      </c>
      <c r="O23" s="7">
        <f t="shared" si="23"/>
        <v>-744.210478732413</v>
      </c>
      <c r="P23" s="7">
        <f t="shared" si="24"/>
        <v>761.5387208418783</v>
      </c>
      <c r="Q23" s="7">
        <f t="shared" si="25"/>
        <v>314.892946508102</v>
      </c>
    </row>
    <row r="24" spans="1:17" ht="12.75">
      <c r="A24" s="1">
        <f t="shared" si="14"/>
        <v>13</v>
      </c>
      <c r="B24" s="7">
        <v>796.1168749282768</v>
      </c>
      <c r="C24" s="7">
        <v>1597.4811163139623</v>
      </c>
      <c r="D24" s="7">
        <v>488.0094097943366</v>
      </c>
      <c r="E24" s="7">
        <f t="shared" si="15"/>
        <v>2881.6074010365755</v>
      </c>
      <c r="F24" s="7"/>
      <c r="G24" s="7">
        <f t="shared" si="16"/>
        <v>-203.88312507172316</v>
      </c>
      <c r="H24" s="7">
        <f t="shared" si="17"/>
        <v>97.48111631396227</v>
      </c>
      <c r="I24" s="7">
        <f t="shared" si="18"/>
        <v>-1231.9905902056635</v>
      </c>
      <c r="J24" s="7">
        <f t="shared" si="19"/>
        <v>-1338.3925989634245</v>
      </c>
      <c r="K24" s="16">
        <f t="shared" si="20"/>
        <v>0</v>
      </c>
      <c r="L24" s="19">
        <f t="shared" si="21"/>
        <v>0</v>
      </c>
      <c r="N24" s="7">
        <f t="shared" si="22"/>
        <v>0</v>
      </c>
      <c r="O24" s="7">
        <f t="shared" si="23"/>
        <v>0</v>
      </c>
      <c r="P24" s="7">
        <f t="shared" si="24"/>
        <v>0</v>
      </c>
      <c r="Q24" s="7">
        <f t="shared" si="25"/>
        <v>0</v>
      </c>
    </row>
    <row r="25" spans="1:17" ht="12.75">
      <c r="A25" s="1">
        <f t="shared" si="14"/>
        <v>14</v>
      </c>
      <c r="B25" s="7">
        <v>565.9227361696688</v>
      </c>
      <c r="C25" s="7">
        <v>1647.9218135080514</v>
      </c>
      <c r="D25" s="7">
        <v>930.4805645183467</v>
      </c>
      <c r="E25" s="7">
        <f t="shared" si="15"/>
        <v>3144.3251141960673</v>
      </c>
      <c r="F25" s="7"/>
      <c r="G25" s="7">
        <f t="shared" si="16"/>
        <v>-434.07726383033116</v>
      </c>
      <c r="H25" s="7">
        <f t="shared" si="17"/>
        <v>147.9218135080514</v>
      </c>
      <c r="I25" s="7">
        <f t="shared" si="18"/>
        <v>-789.5194354816533</v>
      </c>
      <c r="J25" s="7">
        <f t="shared" si="19"/>
        <v>-1075.6748858039327</v>
      </c>
      <c r="K25" s="16">
        <f t="shared" si="20"/>
        <v>0</v>
      </c>
      <c r="L25" s="19">
        <f t="shared" si="21"/>
        <v>0</v>
      </c>
      <c r="N25" s="7">
        <f t="shared" si="22"/>
        <v>0</v>
      </c>
      <c r="O25" s="7">
        <f t="shared" si="23"/>
        <v>0</v>
      </c>
      <c r="P25" s="7">
        <f t="shared" si="24"/>
        <v>0</v>
      </c>
      <c r="Q25" s="7">
        <f t="shared" si="25"/>
        <v>0</v>
      </c>
    </row>
    <row r="26" spans="1:17" ht="12.75">
      <c r="A26" s="1">
        <f t="shared" si="14"/>
        <v>15</v>
      </c>
      <c r="B26" s="7">
        <v>647.4932778354585</v>
      </c>
      <c r="C26" s="7">
        <v>1258.5465445447978</v>
      </c>
      <c r="D26" s="7">
        <v>674.021942963487</v>
      </c>
      <c r="E26" s="7">
        <f t="shared" si="15"/>
        <v>2580.0617653437434</v>
      </c>
      <c r="F26" s="7"/>
      <c r="G26" s="7">
        <f t="shared" si="16"/>
        <v>-352.50672216454154</v>
      </c>
      <c r="H26" s="7">
        <f t="shared" si="17"/>
        <v>-241.45345545520217</v>
      </c>
      <c r="I26" s="7">
        <f t="shared" si="18"/>
        <v>-1045.9780570365128</v>
      </c>
      <c r="J26" s="7">
        <f t="shared" si="19"/>
        <v>-1639.9382346562566</v>
      </c>
      <c r="K26" s="16">
        <f t="shared" si="20"/>
        <v>0</v>
      </c>
      <c r="L26" s="19">
        <f t="shared" si="21"/>
        <v>0</v>
      </c>
      <c r="N26" s="7">
        <f t="shared" si="22"/>
        <v>0</v>
      </c>
      <c r="O26" s="7">
        <f t="shared" si="23"/>
        <v>0</v>
      </c>
      <c r="P26" s="7">
        <f t="shared" si="24"/>
        <v>0</v>
      </c>
      <c r="Q26" s="7">
        <f t="shared" si="25"/>
        <v>0</v>
      </c>
    </row>
    <row r="27" spans="1:17" ht="12.75">
      <c r="A27" s="1">
        <f t="shared" si="14"/>
        <v>16</v>
      </c>
      <c r="B27" s="7">
        <v>1242.3014465200367</v>
      </c>
      <c r="C27" s="7">
        <v>2053.9381582859814</v>
      </c>
      <c r="D27" s="7">
        <v>4197.3210263289475</v>
      </c>
      <c r="E27" s="7">
        <f t="shared" si="15"/>
        <v>7493.560631134966</v>
      </c>
      <c r="F27" s="7"/>
      <c r="G27" s="7">
        <f t="shared" si="16"/>
        <v>242.30144652003673</v>
      </c>
      <c r="H27" s="7">
        <f t="shared" si="17"/>
        <v>553.9381582859814</v>
      </c>
      <c r="I27" s="7">
        <f t="shared" si="18"/>
        <v>2477.3210263289475</v>
      </c>
      <c r="J27" s="7">
        <f t="shared" si="19"/>
        <v>3273.5606311349657</v>
      </c>
      <c r="K27" s="16">
        <f t="shared" si="20"/>
        <v>1055</v>
      </c>
      <c r="L27" s="19">
        <f t="shared" si="21"/>
        <v>0.3222790468475986</v>
      </c>
      <c r="N27" s="7">
        <f t="shared" si="22"/>
        <v>78.08867923427182</v>
      </c>
      <c r="O27" s="7">
        <f t="shared" si="23"/>
        <v>178.52266166492032</v>
      </c>
      <c r="P27" s="7">
        <f t="shared" si="24"/>
        <v>798.3886591008079</v>
      </c>
      <c r="Q27" s="7">
        <f t="shared" si="25"/>
        <v>1055</v>
      </c>
    </row>
    <row r="28" spans="1:17" ht="12.75">
      <c r="A28" s="1">
        <f t="shared" si="14"/>
        <v>17</v>
      </c>
      <c r="B28" s="7">
        <v>1213.6987849344616</v>
      </c>
      <c r="C28" s="7">
        <v>863.5388186020575</v>
      </c>
      <c r="D28" s="7">
        <v>432.5230741759023</v>
      </c>
      <c r="E28" s="7">
        <f t="shared" si="15"/>
        <v>2509.7606777124215</v>
      </c>
      <c r="F28" s="7"/>
      <c r="G28" s="7">
        <f t="shared" si="16"/>
        <v>213.69878493446163</v>
      </c>
      <c r="H28" s="7">
        <f t="shared" si="17"/>
        <v>-636.4611813979425</v>
      </c>
      <c r="I28" s="7">
        <f t="shared" si="18"/>
        <v>-1287.4769258240976</v>
      </c>
      <c r="J28" s="7">
        <f t="shared" si="19"/>
        <v>-1710.2393222875785</v>
      </c>
      <c r="K28" s="16">
        <f t="shared" si="20"/>
        <v>0</v>
      </c>
      <c r="L28" s="19">
        <f t="shared" si="21"/>
        <v>0</v>
      </c>
      <c r="N28" s="7">
        <f t="shared" si="22"/>
        <v>0</v>
      </c>
      <c r="O28" s="7">
        <f t="shared" si="23"/>
        <v>0</v>
      </c>
      <c r="P28" s="7">
        <f t="shared" si="24"/>
        <v>0</v>
      </c>
      <c r="Q28" s="7">
        <f t="shared" si="25"/>
        <v>0</v>
      </c>
    </row>
    <row r="29" spans="1:17" ht="12.75">
      <c r="A29" s="1">
        <f t="shared" si="14"/>
        <v>18</v>
      </c>
      <c r="B29" s="7">
        <v>916.4820226385435</v>
      </c>
      <c r="C29" s="7">
        <v>835.916190876671</v>
      </c>
      <c r="D29" s="7">
        <v>2134.433567942228</v>
      </c>
      <c r="E29" s="7">
        <f t="shared" si="15"/>
        <v>3886.8317814574425</v>
      </c>
      <c r="F29" s="7"/>
      <c r="G29" s="7">
        <f t="shared" si="16"/>
        <v>-83.51797736145647</v>
      </c>
      <c r="H29" s="7">
        <f t="shared" si="17"/>
        <v>-664.083809123329</v>
      </c>
      <c r="I29" s="7">
        <f t="shared" si="18"/>
        <v>414.4335679422279</v>
      </c>
      <c r="J29" s="7">
        <f t="shared" si="19"/>
        <v>-333.1682185425575</v>
      </c>
      <c r="K29" s="16">
        <f t="shared" si="20"/>
        <v>0</v>
      </c>
      <c r="L29" s="19">
        <f t="shared" si="21"/>
        <v>0</v>
      </c>
      <c r="N29" s="7">
        <f t="shared" si="22"/>
        <v>0</v>
      </c>
      <c r="O29" s="7">
        <f t="shared" si="23"/>
        <v>0</v>
      </c>
      <c r="P29" s="7">
        <f t="shared" si="24"/>
        <v>0</v>
      </c>
      <c r="Q29" s="7">
        <f t="shared" si="25"/>
        <v>0</v>
      </c>
    </row>
    <row r="30" spans="1:17" ht="12.75">
      <c r="A30" s="1">
        <f t="shared" si="14"/>
        <v>19</v>
      </c>
      <c r="B30" s="7">
        <v>1544.7140735355827</v>
      </c>
      <c r="C30" s="7">
        <v>678.8581304671246</v>
      </c>
      <c r="D30" s="7">
        <v>1378.599622312094</v>
      </c>
      <c r="E30" s="7">
        <f t="shared" si="15"/>
        <v>3602.1718263148014</v>
      </c>
      <c r="F30" s="7"/>
      <c r="G30" s="7">
        <f t="shared" si="16"/>
        <v>544.7140735355827</v>
      </c>
      <c r="H30" s="7">
        <f t="shared" si="17"/>
        <v>-821.1418695328754</v>
      </c>
      <c r="I30" s="7">
        <f t="shared" si="18"/>
        <v>-341.40037768790603</v>
      </c>
      <c r="J30" s="7">
        <f t="shared" si="19"/>
        <v>-617.8281736851986</v>
      </c>
      <c r="K30" s="16">
        <f t="shared" si="20"/>
        <v>0</v>
      </c>
      <c r="L30" s="19">
        <f t="shared" si="21"/>
        <v>0</v>
      </c>
      <c r="N30" s="7">
        <f t="shared" si="22"/>
        <v>0</v>
      </c>
      <c r="O30" s="7">
        <f t="shared" si="23"/>
        <v>0</v>
      </c>
      <c r="P30" s="7">
        <f t="shared" si="24"/>
        <v>0</v>
      </c>
      <c r="Q30" s="7">
        <f t="shared" si="25"/>
        <v>0</v>
      </c>
    </row>
    <row r="31" spans="1:17" ht="12.75">
      <c r="A31" s="1">
        <f t="shared" si="14"/>
        <v>20</v>
      </c>
      <c r="B31" s="7">
        <v>382.2311283291567</v>
      </c>
      <c r="C31" s="7">
        <v>2148.2004648144243</v>
      </c>
      <c r="D31" s="7">
        <v>1825.599763967809</v>
      </c>
      <c r="E31" s="7">
        <f t="shared" si="15"/>
        <v>4356.03135711139</v>
      </c>
      <c r="F31" s="7"/>
      <c r="G31" s="7">
        <f t="shared" si="16"/>
        <v>-617.7688716708433</v>
      </c>
      <c r="H31" s="7">
        <f t="shared" si="17"/>
        <v>648.2004648144243</v>
      </c>
      <c r="I31" s="7">
        <f t="shared" si="18"/>
        <v>105.59976396780894</v>
      </c>
      <c r="J31" s="7">
        <f t="shared" si="19"/>
        <v>136.0313571113902</v>
      </c>
      <c r="K31" s="16">
        <f t="shared" si="20"/>
        <v>136.0313571113902</v>
      </c>
      <c r="L31" s="19">
        <f t="shared" si="21"/>
        <v>1</v>
      </c>
      <c r="N31" s="7">
        <f t="shared" si="22"/>
        <v>-617.7688716708433</v>
      </c>
      <c r="O31" s="7">
        <f t="shared" si="23"/>
        <v>648.2004648144243</v>
      </c>
      <c r="P31" s="7">
        <f t="shared" si="24"/>
        <v>105.59976396780894</v>
      </c>
      <c r="Q31" s="7">
        <f t="shared" si="25"/>
        <v>136.03135711138998</v>
      </c>
    </row>
    <row r="32" spans="2:16" ht="12.75">
      <c r="B32" s="7"/>
      <c r="C32" s="7"/>
      <c r="D32" s="7"/>
      <c r="F32" s="7"/>
      <c r="G32" s="7"/>
      <c r="H32" s="7"/>
      <c r="I32" s="7"/>
      <c r="J32" s="7"/>
      <c r="N32" s="7"/>
      <c r="O32" s="7"/>
      <c r="P32" s="7"/>
    </row>
    <row r="33" spans="1:17" ht="12.75">
      <c r="A33" s="1" t="s">
        <v>11</v>
      </c>
      <c r="B33" s="7">
        <f>AVERAGE(B12:B31)</f>
        <v>940.8019238149366</v>
      </c>
      <c r="C33" s="7">
        <f>AVERAGE(C12:C31)</f>
        <v>1329.4158763901369</v>
      </c>
      <c r="D33" s="7">
        <f>AVERAGE(D12:D31)</f>
        <v>1648.2957564487963</v>
      </c>
      <c r="E33" s="7">
        <f>AVERAGE(E12:E31)</f>
        <v>3918.51355665387</v>
      </c>
      <c r="F33" s="7"/>
      <c r="G33" s="7">
        <f>AVERAGE(G12:G31)</f>
        <v>-59.19807618506329</v>
      </c>
      <c r="H33" s="7">
        <f>AVERAGE(H12:H31)</f>
        <v>-170.58412360986313</v>
      </c>
      <c r="I33" s="7">
        <f>AVERAGE(I12:I31)</f>
        <v>-71.7042435512034</v>
      </c>
      <c r="J33" s="7">
        <f>AVERAGE(J12:J31)</f>
        <v>-301.4864433461299</v>
      </c>
      <c r="K33" s="16">
        <f>AVERAGE(K12:K31)</f>
        <v>170.22987506878206</v>
      </c>
      <c r="L33" s="2"/>
      <c r="N33" s="7">
        <f>AVERAGE(N12:N31)</f>
        <v>-50.6664934670855</v>
      </c>
      <c r="O33" s="7">
        <f>AVERAGE(O12:O31)</f>
        <v>122.77919563935575</v>
      </c>
      <c r="P33" s="7">
        <f>AVERAGE(P12:P31)</f>
        <v>98.11717289651185</v>
      </c>
      <c r="Q33" s="16">
        <f>N33+O33+P33</f>
        <v>170.2298750687821</v>
      </c>
    </row>
    <row r="34" spans="7:9" ht="12.75">
      <c r="G34" s="7"/>
      <c r="H34" s="7"/>
      <c r="I34" s="7"/>
    </row>
    <row r="35" spans="2:11" ht="12.75">
      <c r="B35" s="7"/>
      <c r="C35" s="7"/>
      <c r="D35" s="7"/>
      <c r="F35" s="7"/>
      <c r="G35" s="7"/>
      <c r="H35" s="7"/>
      <c r="I35" s="7"/>
      <c r="J35" s="7"/>
      <c r="K35" s="29" t="str">
        <f>"*  r(x) = MIN[MAX(X-AP,0),"&amp;TEXT(J38,"00.0%")&amp;"xPremium]"</f>
        <v>*  r(x) = MIN[MAX(X-AP,0),20.0%xPremium]</v>
      </c>
    </row>
    <row r="36" spans="1:11" ht="12.75">
      <c r="A36" t="s">
        <v>15</v>
      </c>
      <c r="B36" s="8">
        <v>1250</v>
      </c>
      <c r="C36" s="8">
        <v>1875</v>
      </c>
      <c r="D36" s="8">
        <v>2150</v>
      </c>
      <c r="E36" s="7">
        <f>B36+C36+D36</f>
        <v>5275</v>
      </c>
      <c r="F36" s="7"/>
      <c r="G36" s="7"/>
      <c r="J36" s="7"/>
      <c r="K36" t="str">
        <f>"** "&amp;L10&amp;" = "&amp;K10&amp;"/["&amp;J10&amp;"]"</f>
        <v>** L(x) = r(x)/[X-AP]</v>
      </c>
    </row>
    <row r="37" spans="1:7" ht="12.75">
      <c r="A37" t="s">
        <v>25</v>
      </c>
      <c r="B37" s="2">
        <f>B38/B36</f>
        <v>0.8</v>
      </c>
      <c r="C37" s="2">
        <f>C38/C36</f>
        <v>0.8</v>
      </c>
      <c r="D37" s="2">
        <f>D38/D36</f>
        <v>0.6976744186046512</v>
      </c>
      <c r="E37" s="2">
        <f>E38/E36</f>
        <v>0.7582938388625592</v>
      </c>
      <c r="F37" s="7"/>
      <c r="G37" s="7"/>
    </row>
    <row r="38" spans="1:10" ht="12.75">
      <c r="A38" t="s">
        <v>6</v>
      </c>
      <c r="B38" s="8">
        <v>1000</v>
      </c>
      <c r="C38" s="8">
        <v>1500</v>
      </c>
      <c r="D38" s="8">
        <v>1500</v>
      </c>
      <c r="E38" s="7">
        <f>B38+C38+D38</f>
        <v>4000</v>
      </c>
      <c r="F38" s="8"/>
      <c r="I38" s="20" t="s">
        <v>26</v>
      </c>
      <c r="J38" s="24">
        <v>0.2</v>
      </c>
    </row>
    <row r="39" spans="1:10" ht="12.75">
      <c r="A39" t="s">
        <v>7</v>
      </c>
      <c r="B39" s="7">
        <f>B38*B40</f>
        <v>500</v>
      </c>
      <c r="C39" s="7">
        <f>C38*C40</f>
        <v>750</v>
      </c>
      <c r="D39" s="7">
        <f>D38*D40</f>
        <v>1500</v>
      </c>
      <c r="E39" s="7"/>
      <c r="F39" s="7"/>
      <c r="G39" s="7"/>
      <c r="H39" s="7"/>
      <c r="I39" s="20" t="s">
        <v>77</v>
      </c>
      <c r="J39" s="24">
        <v>0.8</v>
      </c>
    </row>
    <row r="40" spans="1:10" ht="12.75">
      <c r="A40" t="s">
        <v>10</v>
      </c>
      <c r="B40" s="9">
        <v>0.5</v>
      </c>
      <c r="C40" s="9">
        <v>0.5</v>
      </c>
      <c r="D40" s="9">
        <v>1</v>
      </c>
      <c r="E40" s="9"/>
      <c r="F40" s="9"/>
      <c r="G40" s="9"/>
      <c r="H40" s="9"/>
      <c r="I40" s="9"/>
      <c r="J40" s="9"/>
    </row>
    <row r="42" spans="1:10" ht="12.75">
      <c r="A42" t="s">
        <v>8</v>
      </c>
      <c r="B42" s="10">
        <f>LN(B38)-B43^2/2</f>
        <v>6.7961835033250315</v>
      </c>
      <c r="C42" s="10">
        <f>LN(C38)-C43^2/2</f>
        <v>7.201648611433196</v>
      </c>
      <c r="D42" s="10">
        <f>LN(D38)-D43^2/2</f>
        <v>6.966646796810329</v>
      </c>
      <c r="E42" s="10"/>
      <c r="F42" s="10"/>
      <c r="G42" s="10"/>
      <c r="H42" s="10"/>
      <c r="I42" s="10"/>
      <c r="J42" s="10"/>
    </row>
    <row r="43" spans="1:10" ht="12.75">
      <c r="A43" t="s">
        <v>9</v>
      </c>
      <c r="B43" s="10">
        <f>LN(B40^2+1)^0.5</f>
        <v>0.47238072707743883</v>
      </c>
      <c r="C43" s="10">
        <f>LN(C40^2+1)^0.5</f>
        <v>0.47238072707743883</v>
      </c>
      <c r="D43" s="10">
        <f>LN(D40^2+1)^0.5</f>
        <v>0.8325546111576977</v>
      </c>
      <c r="E43" s="10"/>
      <c r="F43" s="10"/>
      <c r="G43" s="10"/>
      <c r="H43" s="10"/>
      <c r="I43" s="10"/>
      <c r="J43" s="10"/>
    </row>
  </sheetData>
  <printOptions/>
  <pageMargins left="0.5" right="0.5" top="0.75" bottom="0.75" header="0.25" footer="0.5"/>
  <pageSetup fitToHeight="1" fitToWidth="1" horizontalDpi="600" verticalDpi="600" orientation="landscape" scale="82" r:id="rId1"/>
  <ignoredErrors>
    <ignoredError sqref="E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1">
      <selection activeCell="D3" sqref="D3"/>
    </sheetView>
  </sheetViews>
  <sheetFormatPr defaultColWidth="9.140625" defaultRowHeight="12.75"/>
  <cols>
    <col min="1" max="5" width="10.7109375" style="0" customWidth="1"/>
    <col min="6" max="6" width="1.7109375" style="0" customWidth="1"/>
    <col min="7" max="10" width="10.7109375" style="0" customWidth="1"/>
    <col min="11" max="12" width="9.7109375" style="0" customWidth="1"/>
    <col min="13" max="13" width="1.7109375" style="0" customWidth="1"/>
    <col min="14" max="17" width="9.7109375" style="0" customWidth="1"/>
  </cols>
  <sheetData>
    <row r="1" spans="2:4" ht="15.75">
      <c r="B1" s="6" t="s">
        <v>64</v>
      </c>
      <c r="D1" s="6" t="s">
        <v>20</v>
      </c>
    </row>
    <row r="2" ht="12.75">
      <c r="E2" s="5" t="s">
        <v>69</v>
      </c>
    </row>
    <row r="5" spans="2:16" ht="12.75">
      <c r="B5" s="23" t="s">
        <v>12</v>
      </c>
      <c r="C5" s="23"/>
      <c r="D5" s="23"/>
      <c r="E5" s="23"/>
      <c r="G5" s="11" t="s">
        <v>74</v>
      </c>
      <c r="H5" s="11"/>
      <c r="I5" s="11"/>
      <c r="J5" s="11"/>
      <c r="N5" s="11" t="s">
        <v>13</v>
      </c>
      <c r="O5" s="11"/>
      <c r="P5" s="11"/>
    </row>
    <row r="6" spans="2:16" ht="12.75">
      <c r="B6" s="22" t="s">
        <v>33</v>
      </c>
      <c r="C6" s="11"/>
      <c r="D6" s="11"/>
      <c r="E6" s="4"/>
      <c r="K6" s="17" t="str">
        <f>TEXT($J$38,"0.0%")</f>
        <v>20.0%</v>
      </c>
      <c r="L6" s="3" t="s">
        <v>79</v>
      </c>
      <c r="N6" s="11"/>
      <c r="O6" s="11"/>
      <c r="P6" s="11"/>
    </row>
    <row r="7" spans="11:12" ht="12.75">
      <c r="K7" s="17" t="s">
        <v>24</v>
      </c>
      <c r="L7" s="3" t="s">
        <v>80</v>
      </c>
    </row>
    <row r="8" spans="1:17" ht="12.75">
      <c r="A8" s="14" t="s">
        <v>0</v>
      </c>
      <c r="B8" s="13" t="s">
        <v>2</v>
      </c>
      <c r="C8" s="13" t="s">
        <v>3</v>
      </c>
      <c r="D8" s="13" t="s">
        <v>4</v>
      </c>
      <c r="E8" s="13" t="s">
        <v>1</v>
      </c>
      <c r="F8" s="13"/>
      <c r="G8" s="13" t="s">
        <v>2</v>
      </c>
      <c r="H8" s="13" t="s">
        <v>3</v>
      </c>
      <c r="I8" s="13" t="s">
        <v>4</v>
      </c>
      <c r="J8" s="13" t="s">
        <v>1</v>
      </c>
      <c r="K8" s="18" t="str">
        <f>TEXT(Attachment_Point,"0.0%")&amp;"*"</f>
        <v>80.0%*</v>
      </c>
      <c r="L8" s="13" t="s">
        <v>81</v>
      </c>
      <c r="M8" s="15"/>
      <c r="N8" s="13" t="s">
        <v>2</v>
      </c>
      <c r="O8" s="13" t="s">
        <v>3</v>
      </c>
      <c r="P8" s="13" t="s">
        <v>4</v>
      </c>
      <c r="Q8" s="13" t="s">
        <v>1</v>
      </c>
    </row>
    <row r="9" spans="1:11" ht="12.75">
      <c r="A9" s="1"/>
      <c r="K9" s="5"/>
    </row>
    <row r="10" spans="1:17" ht="15.75">
      <c r="A10" s="1" t="s">
        <v>32</v>
      </c>
      <c r="B10" s="3" t="s">
        <v>28</v>
      </c>
      <c r="C10" s="3" t="s">
        <v>30</v>
      </c>
      <c r="D10" s="3" t="s">
        <v>29</v>
      </c>
      <c r="E10" s="3" t="s">
        <v>31</v>
      </c>
      <c r="G10" s="3" t="s">
        <v>65</v>
      </c>
      <c r="H10" s="3" t="s">
        <v>66</v>
      </c>
      <c r="I10" s="3" t="s">
        <v>67</v>
      </c>
      <c r="J10" s="3" t="s">
        <v>68</v>
      </c>
      <c r="K10" s="3" t="s">
        <v>39</v>
      </c>
      <c r="L10" s="3" t="s">
        <v>59</v>
      </c>
      <c r="N10" s="26" t="s">
        <v>71</v>
      </c>
      <c r="O10" s="4"/>
      <c r="P10" s="4"/>
      <c r="Q10" s="4"/>
    </row>
    <row r="11" spans="1:11" ht="12.75">
      <c r="A11" s="1"/>
      <c r="K11" s="5"/>
    </row>
    <row r="12" spans="1:17" ht="12.75">
      <c r="A12" s="1">
        <v>1</v>
      </c>
      <c r="B12" s="27">
        <f>'1a Basket Aggregate'!B12</f>
        <v>428.4145414035145</v>
      </c>
      <c r="C12" s="27">
        <f>'1a Basket Aggregate'!C12</f>
        <v>1925.6705208595365</v>
      </c>
      <c r="D12" s="27">
        <f>'1a Basket Aggregate'!D12</f>
        <v>2253.699170568248</v>
      </c>
      <c r="E12" s="7">
        <f aca="true" t="shared" si="0" ref="E12:E21">B12+C12+D12</f>
        <v>4607.784232831299</v>
      </c>
      <c r="F12" s="7"/>
      <c r="G12" s="7">
        <f>B12-0</f>
        <v>428.4145414035145</v>
      </c>
      <c r="H12" s="7">
        <f aca="true" t="shared" si="1" ref="H12:H21">C12-0</f>
        <v>1925.6705208595365</v>
      </c>
      <c r="I12" s="7">
        <f aca="true" t="shared" si="2" ref="I12:I21">D12-0</f>
        <v>2253.699170568248</v>
      </c>
      <c r="J12" s="7">
        <f aca="true" t="shared" si="3" ref="J12:J21">E12-0</f>
        <v>4607.784232831299</v>
      </c>
      <c r="K12" s="16">
        <f aca="true" t="shared" si="4" ref="K12:K21">MIN(MAX(E12-E$36*Attachment_Point,0),E$36*$J$38)</f>
        <v>387.78423283129905</v>
      </c>
      <c r="L12" s="2">
        <f aca="true" t="shared" si="5" ref="L12:L21">IF(K12&gt;0,K12/J12,0)</f>
        <v>0.0841585050941114</v>
      </c>
      <c r="N12" s="7">
        <f aca="true" t="shared" si="6" ref="N12:N21">G12*$L12</f>
        <v>36.05472736509907</v>
      </c>
      <c r="O12" s="7">
        <f aca="true" t="shared" si="7" ref="O12:O21">H12*$L12</f>
        <v>162.06155233933745</v>
      </c>
      <c r="P12" s="7">
        <f aca="true" t="shared" si="8" ref="P12:P21">I12*$L12</f>
        <v>189.66795312686253</v>
      </c>
      <c r="Q12" s="7">
        <f aca="true" t="shared" si="9" ref="Q12:Q21">N12+O12+P12</f>
        <v>387.78423283129905</v>
      </c>
    </row>
    <row r="13" spans="1:17" ht="12.75">
      <c r="A13" s="1">
        <f aca="true" t="shared" si="10" ref="A13:A21">A12+1</f>
        <v>2</v>
      </c>
      <c r="B13" s="27">
        <f>'1a Basket Aggregate'!B13</f>
        <v>516.1815303926596</v>
      </c>
      <c r="C13" s="27">
        <f>'1a Basket Aggregate'!C13</f>
        <v>772.5836784525857</v>
      </c>
      <c r="D13" s="27">
        <f>'1a Basket Aggregate'!D13</f>
        <v>1267.1626279383834</v>
      </c>
      <c r="E13" s="7">
        <f t="shared" si="0"/>
        <v>2555.9278367836287</v>
      </c>
      <c r="F13" s="7"/>
      <c r="G13" s="7">
        <f aca="true" t="shared" si="11" ref="G13:G21">B13-0</f>
        <v>516.1815303926596</v>
      </c>
      <c r="H13" s="7">
        <f t="shared" si="1"/>
        <v>772.5836784525857</v>
      </c>
      <c r="I13" s="7">
        <f t="shared" si="2"/>
        <v>1267.1626279383834</v>
      </c>
      <c r="J13" s="7">
        <f t="shared" si="3"/>
        <v>2555.9278367836287</v>
      </c>
      <c r="K13" s="16">
        <f t="shared" si="4"/>
        <v>0</v>
      </c>
      <c r="L13" s="2">
        <f t="shared" si="5"/>
        <v>0</v>
      </c>
      <c r="N13" s="7">
        <f t="shared" si="6"/>
        <v>0</v>
      </c>
      <c r="O13" s="7">
        <f t="shared" si="7"/>
        <v>0</v>
      </c>
      <c r="P13" s="7">
        <f t="shared" si="8"/>
        <v>0</v>
      </c>
      <c r="Q13" s="7">
        <f t="shared" si="9"/>
        <v>0</v>
      </c>
    </row>
    <row r="14" spans="1:17" ht="12.75">
      <c r="A14" s="1">
        <f t="shared" si="10"/>
        <v>3</v>
      </c>
      <c r="B14" s="27">
        <f>'1a Basket Aggregate'!B14</f>
        <v>1276.5013170847797</v>
      </c>
      <c r="C14" s="27">
        <f>'1a Basket Aggregate'!C14</f>
        <v>656.5480297887426</v>
      </c>
      <c r="D14" s="27">
        <f>'1a Basket Aggregate'!D14</f>
        <v>532.4857882110176</v>
      </c>
      <c r="E14" s="7">
        <f t="shared" si="0"/>
        <v>2465.53513508454</v>
      </c>
      <c r="F14" s="7"/>
      <c r="G14" s="7">
        <f t="shared" si="11"/>
        <v>1276.5013170847797</v>
      </c>
      <c r="H14" s="7">
        <f t="shared" si="1"/>
        <v>656.5480297887426</v>
      </c>
      <c r="I14" s="7">
        <f t="shared" si="2"/>
        <v>532.4857882110176</v>
      </c>
      <c r="J14" s="7">
        <f t="shared" si="3"/>
        <v>2465.53513508454</v>
      </c>
      <c r="K14" s="16">
        <f t="shared" si="4"/>
        <v>0</v>
      </c>
      <c r="L14" s="2">
        <f t="shared" si="5"/>
        <v>0</v>
      </c>
      <c r="N14" s="7">
        <f t="shared" si="6"/>
        <v>0</v>
      </c>
      <c r="O14" s="7">
        <f t="shared" si="7"/>
        <v>0</v>
      </c>
      <c r="P14" s="7">
        <f t="shared" si="8"/>
        <v>0</v>
      </c>
      <c r="Q14" s="7">
        <f t="shared" si="9"/>
        <v>0</v>
      </c>
    </row>
    <row r="15" spans="1:17" ht="12.75">
      <c r="A15" s="1">
        <f t="shared" si="10"/>
        <v>4</v>
      </c>
      <c r="B15" s="27">
        <f>'1a Basket Aggregate'!B15</f>
        <v>1181.9464585505643</v>
      </c>
      <c r="C15" s="27">
        <f>'1a Basket Aggregate'!C15</f>
        <v>2525.14717277627</v>
      </c>
      <c r="D15" s="27">
        <f>'1a Basket Aggregate'!D15</f>
        <v>821.643670325663</v>
      </c>
      <c r="E15" s="7">
        <f t="shared" si="0"/>
        <v>4528.737301652497</v>
      </c>
      <c r="F15" s="7"/>
      <c r="G15" s="7">
        <f t="shared" si="11"/>
        <v>1181.9464585505643</v>
      </c>
      <c r="H15" s="7">
        <f t="shared" si="1"/>
        <v>2525.14717277627</v>
      </c>
      <c r="I15" s="7">
        <f t="shared" si="2"/>
        <v>821.643670325663</v>
      </c>
      <c r="J15" s="7">
        <f t="shared" si="3"/>
        <v>4528.737301652497</v>
      </c>
      <c r="K15" s="16">
        <f t="shared" si="4"/>
        <v>308.7373016524971</v>
      </c>
      <c r="L15" s="2">
        <f t="shared" si="5"/>
        <v>0.06817293234028865</v>
      </c>
      <c r="N15" s="7">
        <f t="shared" si="6"/>
        <v>80.5767559486114</v>
      </c>
      <c r="O15" s="7">
        <f t="shared" si="7"/>
        <v>172.14668735894784</v>
      </c>
      <c r="P15" s="7">
        <f t="shared" si="8"/>
        <v>56.01385834493786</v>
      </c>
      <c r="Q15" s="7">
        <f t="shared" si="9"/>
        <v>308.7373016524971</v>
      </c>
    </row>
    <row r="16" spans="1:17" ht="12.75">
      <c r="A16" s="1">
        <f t="shared" si="10"/>
        <v>5</v>
      </c>
      <c r="B16" s="27">
        <f>'1a Basket Aggregate'!B16</f>
        <v>824.6992093047278</v>
      </c>
      <c r="C16" s="27">
        <f>'1a Basket Aggregate'!C16</f>
        <v>781.1243644583686</v>
      </c>
      <c r="D16" s="27">
        <f>'1a Basket Aggregate'!D16</f>
        <v>1822.0785669402032</v>
      </c>
      <c r="E16" s="7">
        <f t="shared" si="0"/>
        <v>3427.9021407032997</v>
      </c>
      <c r="F16" s="7"/>
      <c r="G16" s="7">
        <f t="shared" si="11"/>
        <v>824.6992093047278</v>
      </c>
      <c r="H16" s="7">
        <f t="shared" si="1"/>
        <v>781.1243644583686</v>
      </c>
      <c r="I16" s="7">
        <f t="shared" si="2"/>
        <v>1822.0785669402032</v>
      </c>
      <c r="J16" s="7">
        <f t="shared" si="3"/>
        <v>3427.9021407032997</v>
      </c>
      <c r="K16" s="16">
        <f t="shared" si="4"/>
        <v>0</v>
      </c>
      <c r="L16" s="2">
        <f t="shared" si="5"/>
        <v>0</v>
      </c>
      <c r="N16" s="7">
        <f t="shared" si="6"/>
        <v>0</v>
      </c>
      <c r="O16" s="7">
        <f t="shared" si="7"/>
        <v>0</v>
      </c>
      <c r="P16" s="7">
        <f t="shared" si="8"/>
        <v>0</v>
      </c>
      <c r="Q16" s="7">
        <f t="shared" si="9"/>
        <v>0</v>
      </c>
    </row>
    <row r="17" spans="1:17" ht="12.75">
      <c r="A17" s="1">
        <f t="shared" si="10"/>
        <v>6</v>
      </c>
      <c r="B17" s="27">
        <f>'1a Basket Aggregate'!B17</f>
        <v>1563.6386146267002</v>
      </c>
      <c r="C17" s="27">
        <f>'1a Basket Aggregate'!C17</f>
        <v>1074.6588555576398</v>
      </c>
      <c r="D17" s="27">
        <f>'1a Basket Aggregate'!D17</f>
        <v>307.0660690329959</v>
      </c>
      <c r="E17" s="7">
        <f t="shared" si="0"/>
        <v>2945.363539217336</v>
      </c>
      <c r="F17" s="7"/>
      <c r="G17" s="7">
        <f t="shared" si="11"/>
        <v>1563.6386146267002</v>
      </c>
      <c r="H17" s="7">
        <f t="shared" si="1"/>
        <v>1074.6588555576398</v>
      </c>
      <c r="I17" s="7">
        <f t="shared" si="2"/>
        <v>307.0660690329959</v>
      </c>
      <c r="J17" s="7">
        <f t="shared" si="3"/>
        <v>2945.363539217336</v>
      </c>
      <c r="K17" s="16">
        <f t="shared" si="4"/>
        <v>0</v>
      </c>
      <c r="L17" s="2">
        <f t="shared" si="5"/>
        <v>0</v>
      </c>
      <c r="N17" s="7">
        <f t="shared" si="6"/>
        <v>0</v>
      </c>
      <c r="O17" s="7">
        <f t="shared" si="7"/>
        <v>0</v>
      </c>
      <c r="P17" s="7">
        <f t="shared" si="8"/>
        <v>0</v>
      </c>
      <c r="Q17" s="7">
        <f t="shared" si="9"/>
        <v>0</v>
      </c>
    </row>
    <row r="18" spans="1:17" ht="12.75">
      <c r="A18" s="1">
        <f t="shared" si="10"/>
        <v>7</v>
      </c>
      <c r="B18" s="27">
        <f>'1a Basket Aggregate'!B18</f>
        <v>1009.06828136903</v>
      </c>
      <c r="C18" s="27">
        <f>'1a Basket Aggregate'!C18</f>
        <v>903.9324544838079</v>
      </c>
      <c r="D18" s="27">
        <f>'1a Basket Aggregate'!D18</f>
        <v>685.0639670081231</v>
      </c>
      <c r="E18" s="7">
        <f t="shared" si="0"/>
        <v>2598.064702860961</v>
      </c>
      <c r="F18" s="7"/>
      <c r="G18" s="7">
        <f t="shared" si="11"/>
        <v>1009.06828136903</v>
      </c>
      <c r="H18" s="7">
        <f t="shared" si="1"/>
        <v>903.9324544838079</v>
      </c>
      <c r="I18" s="7">
        <f t="shared" si="2"/>
        <v>685.0639670081231</v>
      </c>
      <c r="J18" s="7">
        <f t="shared" si="3"/>
        <v>2598.064702860961</v>
      </c>
      <c r="K18" s="16">
        <f t="shared" si="4"/>
        <v>0</v>
      </c>
      <c r="L18" s="2">
        <f t="shared" si="5"/>
        <v>0</v>
      </c>
      <c r="N18" s="7">
        <f t="shared" si="6"/>
        <v>0</v>
      </c>
      <c r="O18" s="7">
        <f t="shared" si="7"/>
        <v>0</v>
      </c>
      <c r="P18" s="7">
        <f t="shared" si="8"/>
        <v>0</v>
      </c>
      <c r="Q18" s="7">
        <f t="shared" si="9"/>
        <v>0</v>
      </c>
    </row>
    <row r="19" spans="1:17" ht="12.75">
      <c r="A19" s="1">
        <f t="shared" si="10"/>
        <v>8</v>
      </c>
      <c r="B19" s="27">
        <f>'1a Basket Aggregate'!B19</f>
        <v>1162.4115246496685</v>
      </c>
      <c r="C19" s="27">
        <f>'1a Basket Aggregate'!C19</f>
        <v>1448.8389168363865</v>
      </c>
      <c r="D19" s="27">
        <f>'1a Basket Aggregate'!D19</f>
        <v>1699.2036093721485</v>
      </c>
      <c r="E19" s="7">
        <f t="shared" si="0"/>
        <v>4310.454050858203</v>
      </c>
      <c r="F19" s="7"/>
      <c r="G19" s="7">
        <f t="shared" si="11"/>
        <v>1162.4115246496685</v>
      </c>
      <c r="H19" s="7">
        <f t="shared" si="1"/>
        <v>1448.8389168363865</v>
      </c>
      <c r="I19" s="7">
        <f t="shared" si="2"/>
        <v>1699.2036093721485</v>
      </c>
      <c r="J19" s="7">
        <f t="shared" si="3"/>
        <v>4310.454050858203</v>
      </c>
      <c r="K19" s="16">
        <f t="shared" si="4"/>
        <v>90.45405085820312</v>
      </c>
      <c r="L19" s="2">
        <f t="shared" si="5"/>
        <v>0.02098480804828296</v>
      </c>
      <c r="N19" s="7">
        <f t="shared" si="6"/>
        <v>24.392982717885232</v>
      </c>
      <c r="O19" s="7">
        <f t="shared" si="7"/>
        <v>30.40360656269377</v>
      </c>
      <c r="P19" s="7">
        <f t="shared" si="8"/>
        <v>35.65746157762412</v>
      </c>
      <c r="Q19" s="7">
        <f t="shared" si="9"/>
        <v>90.45405085820312</v>
      </c>
    </row>
    <row r="20" spans="1:17" ht="12.75">
      <c r="A20" s="1">
        <f t="shared" si="10"/>
        <v>9</v>
      </c>
      <c r="B20" s="27">
        <f>'1a Basket Aggregate'!B20</f>
        <v>512.9946934239085</v>
      </c>
      <c r="C20" s="27">
        <f>'1a Basket Aggregate'!C20</f>
        <v>2485.774941478288</v>
      </c>
      <c r="D20" s="27">
        <f>'1a Basket Aggregate'!D20</f>
        <v>1277.927977511954</v>
      </c>
      <c r="E20" s="7">
        <f t="shared" si="0"/>
        <v>4276.69761241415</v>
      </c>
      <c r="F20" s="7"/>
      <c r="G20" s="7">
        <f t="shared" si="11"/>
        <v>512.9946934239085</v>
      </c>
      <c r="H20" s="7">
        <f t="shared" si="1"/>
        <v>2485.774941478288</v>
      </c>
      <c r="I20" s="7">
        <f t="shared" si="2"/>
        <v>1277.927977511954</v>
      </c>
      <c r="J20" s="7">
        <f t="shared" si="3"/>
        <v>4276.69761241415</v>
      </c>
      <c r="K20" s="16">
        <f t="shared" si="4"/>
        <v>56.69761241415017</v>
      </c>
      <c r="L20" s="2">
        <f t="shared" si="5"/>
        <v>0.013257334876698232</v>
      </c>
      <c r="N20" s="7">
        <f t="shared" si="6"/>
        <v>6.8009424406899</v>
      </c>
      <c r="O20" s="7">
        <f t="shared" si="7"/>
        <v>32.954750827282616</v>
      </c>
      <c r="P20" s="7">
        <f t="shared" si="8"/>
        <v>16.94191914617766</v>
      </c>
      <c r="Q20" s="7">
        <f t="shared" si="9"/>
        <v>56.69761241415018</v>
      </c>
    </row>
    <row r="21" spans="1:17" ht="12.75">
      <c r="A21" s="1">
        <f t="shared" si="10"/>
        <v>10</v>
      </c>
      <c r="B21" s="27">
        <f>'1a Basket Aggregate'!B21</f>
        <v>741.9108101425868</v>
      </c>
      <c r="C21" s="27">
        <f>'1a Basket Aggregate'!C21</f>
        <v>1444.0160249534422</v>
      </c>
      <c r="D21" s="27">
        <f>'1a Basket Aggregate'!D21</f>
        <v>6812.52969287613</v>
      </c>
      <c r="E21" s="7">
        <f t="shared" si="0"/>
        <v>8998.45652797216</v>
      </c>
      <c r="F21" s="7"/>
      <c r="G21" s="7">
        <f t="shared" si="11"/>
        <v>741.9108101425868</v>
      </c>
      <c r="H21" s="7">
        <f t="shared" si="1"/>
        <v>1444.0160249534422</v>
      </c>
      <c r="I21" s="7">
        <f t="shared" si="2"/>
        <v>6812.52969287613</v>
      </c>
      <c r="J21" s="7">
        <f t="shared" si="3"/>
        <v>8998.45652797216</v>
      </c>
      <c r="K21" s="16">
        <f t="shared" si="4"/>
        <v>1055</v>
      </c>
      <c r="L21" s="2">
        <f t="shared" si="5"/>
        <v>0.11724232891724029</v>
      </c>
      <c r="N21" s="7">
        <f t="shared" si="6"/>
        <v>86.98335122999337</v>
      </c>
      <c r="O21" s="7">
        <f t="shared" si="7"/>
        <v>169.29980175935734</v>
      </c>
      <c r="P21" s="7">
        <f t="shared" si="8"/>
        <v>798.7168470106492</v>
      </c>
      <c r="Q21" s="7">
        <f t="shared" si="9"/>
        <v>1055</v>
      </c>
    </row>
    <row r="22" spans="1:17" ht="12.75">
      <c r="A22" s="1">
        <f aca="true" t="shared" si="12" ref="A22:A31">A21+1</f>
        <v>11</v>
      </c>
      <c r="B22" s="27">
        <f>'1a Basket Aggregate'!B22</f>
        <v>991.7464460607722</v>
      </c>
      <c r="C22" s="27">
        <f>'1a Basket Aggregate'!C22</f>
        <v>729.8318094770127</v>
      </c>
      <c r="D22" s="27">
        <f>'1a Basket Aggregate'!D22</f>
        <v>944.5262963460343</v>
      </c>
      <c r="E22" s="7">
        <f aca="true" t="shared" si="13" ref="E22:E31">B22+C22+D22</f>
        <v>2666.104551883819</v>
      </c>
      <c r="F22" s="7"/>
      <c r="G22" s="7">
        <f aca="true" t="shared" si="14" ref="G22:G31">B22-0</f>
        <v>991.7464460607722</v>
      </c>
      <c r="H22" s="7">
        <f aca="true" t="shared" si="15" ref="H22:H31">C22-0</f>
        <v>729.8318094770127</v>
      </c>
      <c r="I22" s="7">
        <f aca="true" t="shared" si="16" ref="I22:I31">D22-0</f>
        <v>944.5262963460343</v>
      </c>
      <c r="J22" s="7">
        <f aca="true" t="shared" si="17" ref="J22:J31">E22-0</f>
        <v>2666.104551883819</v>
      </c>
      <c r="K22" s="16">
        <f aca="true" t="shared" si="18" ref="K22:K31">MIN(MAX(E22-E$36*Attachment_Point,0),E$36*$J$38)</f>
        <v>0</v>
      </c>
      <c r="L22" s="2">
        <f aca="true" t="shared" si="19" ref="L22:L31">IF(K22&gt;0,K22/J22,0)</f>
        <v>0</v>
      </c>
      <c r="N22" s="7">
        <f aca="true" t="shared" si="20" ref="N22:N31">G22*$L22</f>
        <v>0</v>
      </c>
      <c r="O22" s="7">
        <f aca="true" t="shared" si="21" ref="O22:O31">H22*$L22</f>
        <v>0</v>
      </c>
      <c r="P22" s="7">
        <f aca="true" t="shared" si="22" ref="P22:P31">I22*$L22</f>
        <v>0</v>
      </c>
      <c r="Q22" s="7">
        <f aca="true" t="shared" si="23" ref="Q22:Q31">N22+O22+P22</f>
        <v>0</v>
      </c>
    </row>
    <row r="23" spans="1:17" ht="12.75">
      <c r="A23" s="1">
        <f t="shared" si="12"/>
        <v>12</v>
      </c>
      <c r="B23" s="27">
        <f>'1a Basket Aggregate'!B23</f>
        <v>1297.5647043986366</v>
      </c>
      <c r="C23" s="27">
        <f>'1a Basket Aggregate'!C23</f>
        <v>755.789521267587</v>
      </c>
      <c r="D23" s="27">
        <f>'1a Basket Aggregate'!D23</f>
        <v>2481.5387208418783</v>
      </c>
      <c r="E23" s="7">
        <f t="shared" si="13"/>
        <v>4534.892946508102</v>
      </c>
      <c r="F23" s="7"/>
      <c r="G23" s="7">
        <f t="shared" si="14"/>
        <v>1297.5647043986366</v>
      </c>
      <c r="H23" s="7">
        <f t="shared" si="15"/>
        <v>755.789521267587</v>
      </c>
      <c r="I23" s="7">
        <f t="shared" si="16"/>
        <v>2481.5387208418783</v>
      </c>
      <c r="J23" s="7">
        <f t="shared" si="17"/>
        <v>4534.892946508102</v>
      </c>
      <c r="K23" s="16">
        <f t="shared" si="18"/>
        <v>314.8929465081019</v>
      </c>
      <c r="L23" s="2">
        <f t="shared" si="19"/>
        <v>0.06943779053275592</v>
      </c>
      <c r="N23" s="7">
        <f t="shared" si="20"/>
        <v>90.10002614672989</v>
      </c>
      <c r="O23" s="7">
        <f t="shared" si="21"/>
        <v>52.48035446463059</v>
      </c>
      <c r="P23" s="7">
        <f t="shared" si="22"/>
        <v>172.31256589674143</v>
      </c>
      <c r="Q23" s="7">
        <f t="shared" si="23"/>
        <v>314.8929465081019</v>
      </c>
    </row>
    <row r="24" spans="1:17" ht="12.75">
      <c r="A24" s="1">
        <f t="shared" si="12"/>
        <v>13</v>
      </c>
      <c r="B24" s="27">
        <f>'1a Basket Aggregate'!B24</f>
        <v>796.1168749282768</v>
      </c>
      <c r="C24" s="27">
        <f>'1a Basket Aggregate'!C24</f>
        <v>1597.4811163139623</v>
      </c>
      <c r="D24" s="27">
        <f>'1a Basket Aggregate'!D24</f>
        <v>488.0094097943366</v>
      </c>
      <c r="E24" s="7">
        <f t="shared" si="13"/>
        <v>2881.6074010365755</v>
      </c>
      <c r="F24" s="7"/>
      <c r="G24" s="7">
        <f t="shared" si="14"/>
        <v>796.1168749282768</v>
      </c>
      <c r="H24" s="7">
        <f t="shared" si="15"/>
        <v>1597.4811163139623</v>
      </c>
      <c r="I24" s="7">
        <f t="shared" si="16"/>
        <v>488.0094097943366</v>
      </c>
      <c r="J24" s="7">
        <f t="shared" si="17"/>
        <v>2881.6074010365755</v>
      </c>
      <c r="K24" s="16">
        <f t="shared" si="18"/>
        <v>0</v>
      </c>
      <c r="L24" s="2">
        <f t="shared" si="19"/>
        <v>0</v>
      </c>
      <c r="N24" s="7">
        <f t="shared" si="20"/>
        <v>0</v>
      </c>
      <c r="O24" s="7">
        <f t="shared" si="21"/>
        <v>0</v>
      </c>
      <c r="P24" s="7">
        <f t="shared" si="22"/>
        <v>0</v>
      </c>
      <c r="Q24" s="7">
        <f t="shared" si="23"/>
        <v>0</v>
      </c>
    </row>
    <row r="25" spans="1:17" ht="12.75">
      <c r="A25" s="1">
        <f t="shared" si="12"/>
        <v>14</v>
      </c>
      <c r="B25" s="27">
        <f>'1a Basket Aggregate'!B25</f>
        <v>565.9227361696688</v>
      </c>
      <c r="C25" s="27">
        <f>'1a Basket Aggregate'!C25</f>
        <v>1647.9218135080514</v>
      </c>
      <c r="D25" s="27">
        <f>'1a Basket Aggregate'!D25</f>
        <v>930.4805645183467</v>
      </c>
      <c r="E25" s="7">
        <f t="shared" si="13"/>
        <v>3144.3251141960673</v>
      </c>
      <c r="F25" s="7"/>
      <c r="G25" s="7">
        <f t="shared" si="14"/>
        <v>565.9227361696688</v>
      </c>
      <c r="H25" s="7">
        <f t="shared" si="15"/>
        <v>1647.9218135080514</v>
      </c>
      <c r="I25" s="7">
        <f t="shared" si="16"/>
        <v>930.4805645183467</v>
      </c>
      <c r="J25" s="7">
        <f t="shared" si="17"/>
        <v>3144.3251141960673</v>
      </c>
      <c r="K25" s="16">
        <f t="shared" si="18"/>
        <v>0</v>
      </c>
      <c r="L25" s="2">
        <f t="shared" si="19"/>
        <v>0</v>
      </c>
      <c r="N25" s="7">
        <f t="shared" si="20"/>
        <v>0</v>
      </c>
      <c r="O25" s="7">
        <f t="shared" si="21"/>
        <v>0</v>
      </c>
      <c r="P25" s="7">
        <f t="shared" si="22"/>
        <v>0</v>
      </c>
      <c r="Q25" s="7">
        <f t="shared" si="23"/>
        <v>0</v>
      </c>
    </row>
    <row r="26" spans="1:17" ht="12.75">
      <c r="A26" s="1">
        <f t="shared" si="12"/>
        <v>15</v>
      </c>
      <c r="B26" s="27">
        <f>'1a Basket Aggregate'!B26</f>
        <v>647.4932778354585</v>
      </c>
      <c r="C26" s="27">
        <f>'1a Basket Aggregate'!C26</f>
        <v>1258.5465445447978</v>
      </c>
      <c r="D26" s="27">
        <f>'1a Basket Aggregate'!D26</f>
        <v>674.021942963487</v>
      </c>
      <c r="E26" s="7">
        <f t="shared" si="13"/>
        <v>2580.0617653437434</v>
      </c>
      <c r="F26" s="7"/>
      <c r="G26" s="7">
        <f t="shared" si="14"/>
        <v>647.4932778354585</v>
      </c>
      <c r="H26" s="7">
        <f t="shared" si="15"/>
        <v>1258.5465445447978</v>
      </c>
      <c r="I26" s="7">
        <f t="shared" si="16"/>
        <v>674.021942963487</v>
      </c>
      <c r="J26" s="7">
        <f t="shared" si="17"/>
        <v>2580.0617653437434</v>
      </c>
      <c r="K26" s="16">
        <f t="shared" si="18"/>
        <v>0</v>
      </c>
      <c r="L26" s="2">
        <f t="shared" si="19"/>
        <v>0</v>
      </c>
      <c r="N26" s="7">
        <f t="shared" si="20"/>
        <v>0</v>
      </c>
      <c r="O26" s="7">
        <f t="shared" si="21"/>
        <v>0</v>
      </c>
      <c r="P26" s="7">
        <f t="shared" si="22"/>
        <v>0</v>
      </c>
      <c r="Q26" s="7">
        <f t="shared" si="23"/>
        <v>0</v>
      </c>
    </row>
    <row r="27" spans="1:17" ht="12.75">
      <c r="A27" s="1">
        <f t="shared" si="12"/>
        <v>16</v>
      </c>
      <c r="B27" s="27">
        <f>'1a Basket Aggregate'!B27</f>
        <v>1242.3014465200367</v>
      </c>
      <c r="C27" s="27">
        <f>'1a Basket Aggregate'!C27</f>
        <v>2053.9381582859814</v>
      </c>
      <c r="D27" s="27">
        <f>'1a Basket Aggregate'!D27</f>
        <v>4197.3210263289475</v>
      </c>
      <c r="E27" s="7">
        <f t="shared" si="13"/>
        <v>7493.560631134966</v>
      </c>
      <c r="F27" s="7"/>
      <c r="G27" s="7">
        <f t="shared" si="14"/>
        <v>1242.3014465200367</v>
      </c>
      <c r="H27" s="7">
        <f t="shared" si="15"/>
        <v>2053.9381582859814</v>
      </c>
      <c r="I27" s="7">
        <f t="shared" si="16"/>
        <v>4197.3210263289475</v>
      </c>
      <c r="J27" s="7">
        <f t="shared" si="17"/>
        <v>7493.560631134966</v>
      </c>
      <c r="K27" s="16">
        <f t="shared" si="18"/>
        <v>1055</v>
      </c>
      <c r="L27" s="2">
        <f t="shared" si="19"/>
        <v>0.14078754439065785</v>
      </c>
      <c r="N27" s="7">
        <f t="shared" si="20"/>
        <v>174.90057004851815</v>
      </c>
      <c r="O27" s="7">
        <f t="shared" si="21"/>
        <v>289.16890963535366</v>
      </c>
      <c r="P27" s="7">
        <f t="shared" si="22"/>
        <v>590.9305203161283</v>
      </c>
      <c r="Q27" s="7">
        <f t="shared" si="23"/>
        <v>1055</v>
      </c>
    </row>
    <row r="28" spans="1:17" ht="12.75">
      <c r="A28" s="1">
        <f t="shared" si="12"/>
        <v>17</v>
      </c>
      <c r="B28" s="27">
        <f>'1a Basket Aggregate'!B28</f>
        <v>1213.6987849344616</v>
      </c>
      <c r="C28" s="27">
        <f>'1a Basket Aggregate'!C28</f>
        <v>863.5388186020575</v>
      </c>
      <c r="D28" s="27">
        <f>'1a Basket Aggregate'!D28</f>
        <v>432.5230741759023</v>
      </c>
      <c r="E28" s="7">
        <f t="shared" si="13"/>
        <v>2509.7606777124215</v>
      </c>
      <c r="F28" s="7"/>
      <c r="G28" s="7">
        <f t="shared" si="14"/>
        <v>1213.6987849344616</v>
      </c>
      <c r="H28" s="7">
        <f t="shared" si="15"/>
        <v>863.5388186020575</v>
      </c>
      <c r="I28" s="7">
        <f t="shared" si="16"/>
        <v>432.5230741759023</v>
      </c>
      <c r="J28" s="7">
        <f t="shared" si="17"/>
        <v>2509.7606777124215</v>
      </c>
      <c r="K28" s="16">
        <f t="shared" si="18"/>
        <v>0</v>
      </c>
      <c r="L28" s="2">
        <f t="shared" si="19"/>
        <v>0</v>
      </c>
      <c r="N28" s="7">
        <f t="shared" si="20"/>
        <v>0</v>
      </c>
      <c r="O28" s="7">
        <f t="shared" si="21"/>
        <v>0</v>
      </c>
      <c r="P28" s="7">
        <f t="shared" si="22"/>
        <v>0</v>
      </c>
      <c r="Q28" s="7">
        <f t="shared" si="23"/>
        <v>0</v>
      </c>
    </row>
    <row r="29" spans="1:17" ht="12.75">
      <c r="A29" s="1">
        <f t="shared" si="12"/>
        <v>18</v>
      </c>
      <c r="B29" s="27">
        <f>'1a Basket Aggregate'!B29</f>
        <v>916.4820226385435</v>
      </c>
      <c r="C29" s="27">
        <f>'1a Basket Aggregate'!C29</f>
        <v>835.916190876671</v>
      </c>
      <c r="D29" s="27">
        <f>'1a Basket Aggregate'!D29</f>
        <v>2134.433567942228</v>
      </c>
      <c r="E29" s="7">
        <f t="shared" si="13"/>
        <v>3886.8317814574425</v>
      </c>
      <c r="F29" s="7"/>
      <c r="G29" s="7">
        <f t="shared" si="14"/>
        <v>916.4820226385435</v>
      </c>
      <c r="H29" s="7">
        <f t="shared" si="15"/>
        <v>835.916190876671</v>
      </c>
      <c r="I29" s="7">
        <f t="shared" si="16"/>
        <v>2134.433567942228</v>
      </c>
      <c r="J29" s="7">
        <f t="shared" si="17"/>
        <v>3886.8317814574425</v>
      </c>
      <c r="K29" s="16">
        <f t="shared" si="18"/>
        <v>0</v>
      </c>
      <c r="L29" s="2">
        <f t="shared" si="19"/>
        <v>0</v>
      </c>
      <c r="N29" s="7">
        <f t="shared" si="20"/>
        <v>0</v>
      </c>
      <c r="O29" s="7">
        <f t="shared" si="21"/>
        <v>0</v>
      </c>
      <c r="P29" s="7">
        <f t="shared" si="22"/>
        <v>0</v>
      </c>
      <c r="Q29" s="7">
        <f t="shared" si="23"/>
        <v>0</v>
      </c>
    </row>
    <row r="30" spans="1:17" ht="12.75">
      <c r="A30" s="1">
        <f t="shared" si="12"/>
        <v>19</v>
      </c>
      <c r="B30" s="27">
        <f>'1a Basket Aggregate'!B30</f>
        <v>1544.7140735355827</v>
      </c>
      <c r="C30" s="27">
        <f>'1a Basket Aggregate'!C30</f>
        <v>678.8581304671246</v>
      </c>
      <c r="D30" s="27">
        <f>'1a Basket Aggregate'!D30</f>
        <v>1378.599622312094</v>
      </c>
      <c r="E30" s="7">
        <f t="shared" si="13"/>
        <v>3602.1718263148014</v>
      </c>
      <c r="F30" s="7"/>
      <c r="G30" s="7">
        <f t="shared" si="14"/>
        <v>1544.7140735355827</v>
      </c>
      <c r="H30" s="7">
        <f t="shared" si="15"/>
        <v>678.8581304671246</v>
      </c>
      <c r="I30" s="7">
        <f t="shared" si="16"/>
        <v>1378.599622312094</v>
      </c>
      <c r="J30" s="7">
        <f t="shared" si="17"/>
        <v>3602.1718263148014</v>
      </c>
      <c r="K30" s="16">
        <f t="shared" si="18"/>
        <v>0</v>
      </c>
      <c r="L30" s="2">
        <f t="shared" si="19"/>
        <v>0</v>
      </c>
      <c r="N30" s="7">
        <f t="shared" si="20"/>
        <v>0</v>
      </c>
      <c r="O30" s="7">
        <f t="shared" si="21"/>
        <v>0</v>
      </c>
      <c r="P30" s="7">
        <f t="shared" si="22"/>
        <v>0</v>
      </c>
      <c r="Q30" s="7">
        <f t="shared" si="23"/>
        <v>0</v>
      </c>
    </row>
    <row r="31" spans="1:17" ht="12.75">
      <c r="A31" s="1">
        <f t="shared" si="12"/>
        <v>20</v>
      </c>
      <c r="B31" s="27">
        <f>'1a Basket Aggregate'!B31</f>
        <v>382.2311283291567</v>
      </c>
      <c r="C31" s="27">
        <f>'1a Basket Aggregate'!C31</f>
        <v>2148.2004648144243</v>
      </c>
      <c r="D31" s="27">
        <f>'1a Basket Aggregate'!D31</f>
        <v>1825.599763967809</v>
      </c>
      <c r="E31" s="7">
        <f t="shared" si="13"/>
        <v>4356.03135711139</v>
      </c>
      <c r="F31" s="7"/>
      <c r="G31" s="7">
        <f t="shared" si="14"/>
        <v>382.2311283291567</v>
      </c>
      <c r="H31" s="7">
        <f t="shared" si="15"/>
        <v>2148.2004648144243</v>
      </c>
      <c r="I31" s="7">
        <f t="shared" si="16"/>
        <v>1825.599763967809</v>
      </c>
      <c r="J31" s="7">
        <f t="shared" si="17"/>
        <v>4356.03135711139</v>
      </c>
      <c r="K31" s="16">
        <f t="shared" si="18"/>
        <v>136.0313571113902</v>
      </c>
      <c r="L31" s="2">
        <f t="shared" si="19"/>
        <v>0.031228277750873796</v>
      </c>
      <c r="N31" s="7">
        <f t="shared" si="20"/>
        <v>11.93641984049279</v>
      </c>
      <c r="O31" s="7">
        <f t="shared" si="21"/>
        <v>67.08460077978103</v>
      </c>
      <c r="P31" s="7">
        <f t="shared" si="22"/>
        <v>57.010336491116384</v>
      </c>
      <c r="Q31" s="7">
        <f t="shared" si="23"/>
        <v>136.0313571113902</v>
      </c>
    </row>
    <row r="32" spans="2:16" ht="12.75">
      <c r="B32" s="7"/>
      <c r="C32" s="7"/>
      <c r="D32" s="7"/>
      <c r="F32" s="7"/>
      <c r="G32" s="7"/>
      <c r="H32" s="7"/>
      <c r="I32" s="7"/>
      <c r="J32" s="7"/>
      <c r="N32" s="7"/>
      <c r="O32" s="7"/>
      <c r="P32" s="7"/>
    </row>
    <row r="33" spans="1:17" ht="12.75">
      <c r="A33" s="1" t="s">
        <v>11</v>
      </c>
      <c r="B33" s="7">
        <f>AVERAGE(B12:B31)</f>
        <v>940.8019238149366</v>
      </c>
      <c r="C33" s="7">
        <f>AVERAGE(C12:C31)</f>
        <v>1329.4158763901369</v>
      </c>
      <c r="D33" s="7">
        <f>AVERAGE(D12:D31)</f>
        <v>1648.2957564487963</v>
      </c>
      <c r="E33" s="7">
        <f>AVERAGE(E12:E31)</f>
        <v>3918.51355665387</v>
      </c>
      <c r="F33" s="7"/>
      <c r="G33" s="7">
        <f>AVERAGE(G12:G31)</f>
        <v>940.8019238149366</v>
      </c>
      <c r="H33" s="7">
        <f>AVERAGE(H12:H31)</f>
        <v>1329.4158763901369</v>
      </c>
      <c r="I33" s="7">
        <f>AVERAGE(I12:I31)</f>
        <v>1648.2957564487963</v>
      </c>
      <c r="J33" s="7">
        <f>AVERAGE(J12:J31)</f>
        <v>3918.51355665387</v>
      </c>
      <c r="K33" s="16">
        <f>AVERAGE(K12:K31)</f>
        <v>170.22987506878206</v>
      </c>
      <c r="L33" s="2"/>
      <c r="N33" s="7">
        <f>AVERAGE(N12:N31)</f>
        <v>25.58728878690099</v>
      </c>
      <c r="O33" s="7">
        <f>AVERAGE(O12:O31)</f>
        <v>48.78001318636922</v>
      </c>
      <c r="P33" s="7">
        <f>AVERAGE(P12:P31)</f>
        <v>95.86257309551186</v>
      </c>
      <c r="Q33" s="16">
        <f>N33+O33+P33</f>
        <v>170.22987506878206</v>
      </c>
    </row>
    <row r="34" spans="7:9" ht="12.75">
      <c r="G34" s="7"/>
      <c r="H34" s="7"/>
      <c r="I34" s="7"/>
    </row>
    <row r="35" spans="2:11" ht="12.75">
      <c r="B35" s="7"/>
      <c r="C35" s="7"/>
      <c r="D35" s="7"/>
      <c r="F35" s="7"/>
      <c r="G35" s="7"/>
      <c r="H35" s="7"/>
      <c r="I35" s="7"/>
      <c r="J35" s="7"/>
      <c r="K35" s="29" t="str">
        <f>"*  r(x) = MIN[MAX(X-"&amp;TEXT(J39,"00.0%")&amp;"xPremium,0),"&amp;TEXT(J38,"00.0%")&amp;"xPremium]"</f>
        <v>*  r(x) = MIN[MAX(X-80.0%xPremium,0),20.0%xPremium]</v>
      </c>
    </row>
    <row r="36" spans="1:11" ht="12.75">
      <c r="A36" t="s">
        <v>15</v>
      </c>
      <c r="B36" s="27">
        <f>'1a Basket Aggregate'!B36</f>
        <v>1250</v>
      </c>
      <c r="C36" s="27">
        <f>'1a Basket Aggregate'!C36</f>
        <v>1875</v>
      </c>
      <c r="D36" s="27">
        <f>'1a Basket Aggregate'!D36</f>
        <v>2150</v>
      </c>
      <c r="E36" s="7">
        <f>B36+C36+D36</f>
        <v>5275</v>
      </c>
      <c r="F36" s="7"/>
      <c r="G36" s="7"/>
      <c r="J36" s="7"/>
      <c r="K36" t="str">
        <f>"** "&amp;L10&amp;" = "&amp;K10&amp;"/["&amp;J10&amp;"]"</f>
        <v>** L(x) = r(x)/[X-0]</v>
      </c>
    </row>
    <row r="37" spans="1:7" ht="12.75">
      <c r="A37" t="s">
        <v>25</v>
      </c>
      <c r="B37" s="2">
        <f>B38/B36</f>
        <v>0.8</v>
      </c>
      <c r="C37" s="2">
        <f>C38/C36</f>
        <v>0.8</v>
      </c>
      <c r="D37" s="2">
        <f>D38/D36</f>
        <v>0.6976744186046512</v>
      </c>
      <c r="E37" s="2">
        <f>E38/E36</f>
        <v>0.7582938388625592</v>
      </c>
      <c r="F37" s="7"/>
      <c r="G37" s="7"/>
    </row>
    <row r="38" spans="1:10" ht="12.75">
      <c r="A38" t="s">
        <v>6</v>
      </c>
      <c r="B38" s="27">
        <f>'1a Basket Aggregate'!B38</f>
        <v>1000</v>
      </c>
      <c r="C38" s="27">
        <f>'1a Basket Aggregate'!C38</f>
        <v>1500</v>
      </c>
      <c r="D38" s="27">
        <f>'1a Basket Aggregate'!D38</f>
        <v>1500</v>
      </c>
      <c r="E38" s="7">
        <f>B38+C38+D38</f>
        <v>4000</v>
      </c>
      <c r="F38" s="8"/>
      <c r="I38" s="20" t="s">
        <v>26</v>
      </c>
      <c r="J38" s="24">
        <v>0.2</v>
      </c>
    </row>
    <row r="39" spans="1:10" ht="12.75">
      <c r="A39" t="s">
        <v>7</v>
      </c>
      <c r="B39" s="7">
        <f>B38*B40</f>
        <v>500</v>
      </c>
      <c r="C39" s="7">
        <f>C38*C40</f>
        <v>750</v>
      </c>
      <c r="D39" s="7">
        <f>D38*D40</f>
        <v>1500</v>
      </c>
      <c r="E39" s="7"/>
      <c r="F39" s="7"/>
      <c r="G39" s="7"/>
      <c r="H39" s="7"/>
      <c r="I39" s="20" t="s">
        <v>77</v>
      </c>
      <c r="J39" s="24">
        <v>0.8</v>
      </c>
    </row>
    <row r="40" spans="1:10" ht="12.75">
      <c r="A40" t="s">
        <v>10</v>
      </c>
      <c r="B40" s="28">
        <f>'1a Basket Aggregate'!B40</f>
        <v>0.5</v>
      </c>
      <c r="C40" s="28">
        <f>'1a Basket Aggregate'!C40</f>
        <v>0.5</v>
      </c>
      <c r="D40" s="28">
        <f>'1a Basket Aggregate'!D40</f>
        <v>1</v>
      </c>
      <c r="E40" s="9"/>
      <c r="F40" s="9"/>
      <c r="G40" s="9"/>
      <c r="H40" s="9"/>
      <c r="I40" s="9"/>
      <c r="J40" s="9"/>
    </row>
    <row r="42" spans="1:10" ht="12.75">
      <c r="A42" t="s">
        <v>8</v>
      </c>
      <c r="B42" s="10">
        <f>LN(B38)-B43^2/2</f>
        <v>6.7961835033250315</v>
      </c>
      <c r="C42" s="10">
        <f>LN(C38)-C43^2/2</f>
        <v>7.201648611433196</v>
      </c>
      <c r="D42" s="10">
        <f>LN(D38)-D43^2/2</f>
        <v>6.966646796810329</v>
      </c>
      <c r="E42" s="10"/>
      <c r="F42" s="10"/>
      <c r="G42" s="10"/>
      <c r="H42" s="10"/>
      <c r="I42" s="10"/>
      <c r="J42" s="10"/>
    </row>
    <row r="43" spans="1:10" ht="12.75">
      <c r="A43" t="s">
        <v>9</v>
      </c>
      <c r="B43" s="10">
        <f>LN(B40^2+1)^0.5</f>
        <v>0.47238072707743883</v>
      </c>
      <c r="C43" s="10">
        <f>LN(C40^2+1)^0.5</f>
        <v>0.47238072707743883</v>
      </c>
      <c r="D43" s="10">
        <f>LN(D40^2+1)^0.5</f>
        <v>0.8325546111576977</v>
      </c>
      <c r="E43" s="10"/>
      <c r="F43" s="10"/>
      <c r="G43" s="10"/>
      <c r="H43" s="10"/>
      <c r="I43" s="10"/>
      <c r="J43" s="10"/>
    </row>
  </sheetData>
  <printOptions/>
  <pageMargins left="0.5" right="0.5" top="0.75" bottom="0.75" header="0.25" footer="0.25"/>
  <pageSetup fitToHeight="1" fitToWidth="1" horizontalDpi="600" verticalDpi="600" orientation="landscape" scale="82" r:id="rId1"/>
  <ignoredErrors>
    <ignoredError sqref="E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1">
      <selection activeCell="D3" sqref="D3"/>
    </sheetView>
  </sheetViews>
  <sheetFormatPr defaultColWidth="9.140625" defaultRowHeight="12.75"/>
  <cols>
    <col min="1" max="5" width="10.7109375" style="0" customWidth="1"/>
    <col min="6" max="6" width="1.7109375" style="0" customWidth="1"/>
    <col min="7" max="10" width="10.7109375" style="0" customWidth="1"/>
    <col min="11" max="12" width="9.7109375" style="0" customWidth="1"/>
    <col min="13" max="13" width="1.7109375" style="0" customWidth="1"/>
    <col min="14" max="17" width="9.7109375" style="0" customWidth="1"/>
  </cols>
  <sheetData>
    <row r="1" spans="2:4" ht="15.75">
      <c r="B1" s="6" t="s">
        <v>61</v>
      </c>
      <c r="D1" s="6" t="s">
        <v>21</v>
      </c>
    </row>
    <row r="5" spans="2:17" ht="12.75">
      <c r="B5" s="11" t="s">
        <v>22</v>
      </c>
      <c r="C5" s="11"/>
      <c r="D5" s="11"/>
      <c r="E5" s="4"/>
      <c r="G5" s="23" t="s">
        <v>34</v>
      </c>
      <c r="H5" s="23"/>
      <c r="I5" s="23"/>
      <c r="J5" s="23"/>
      <c r="N5" s="11" t="s">
        <v>18</v>
      </c>
      <c r="O5" s="11"/>
      <c r="P5" s="11"/>
      <c r="Q5" s="4"/>
    </row>
    <row r="6" spans="2:17" ht="12.75">
      <c r="B6" s="22" t="s">
        <v>33</v>
      </c>
      <c r="C6" s="11"/>
      <c r="D6" s="11"/>
      <c r="E6" s="4"/>
      <c r="G6" s="11"/>
      <c r="H6" s="11"/>
      <c r="I6" s="11"/>
      <c r="J6" s="4"/>
      <c r="K6" s="4"/>
      <c r="N6" s="11"/>
      <c r="O6" s="11"/>
      <c r="P6" s="11"/>
      <c r="Q6" s="4"/>
    </row>
    <row r="7" ht="12.75">
      <c r="K7" s="17" t="s">
        <v>19</v>
      </c>
    </row>
    <row r="8" spans="1:17" ht="12.75">
      <c r="A8" s="14" t="s">
        <v>0</v>
      </c>
      <c r="B8" s="13">
        <v>2002</v>
      </c>
      <c r="C8" s="13">
        <v>2003</v>
      </c>
      <c r="D8" s="13">
        <v>2004</v>
      </c>
      <c r="E8" s="13" t="s">
        <v>23</v>
      </c>
      <c r="F8" s="13"/>
      <c r="G8" s="13">
        <v>2002</v>
      </c>
      <c r="H8" s="13">
        <v>2003</v>
      </c>
      <c r="I8" s="13">
        <v>2004</v>
      </c>
      <c r="J8" s="13" t="s">
        <v>23</v>
      </c>
      <c r="K8" s="18" t="s">
        <v>82</v>
      </c>
      <c r="L8" s="13" t="s">
        <v>83</v>
      </c>
      <c r="M8" s="15"/>
      <c r="N8" s="13">
        <v>2002</v>
      </c>
      <c r="O8" s="13">
        <v>2003</v>
      </c>
      <c r="P8" s="13">
        <v>2004</v>
      </c>
      <c r="Q8" s="13" t="s">
        <v>23</v>
      </c>
    </row>
    <row r="9" spans="1:11" ht="12.75">
      <c r="A9" s="1"/>
      <c r="K9" s="5"/>
    </row>
    <row r="10" spans="1:17" ht="15.75">
      <c r="A10" s="1" t="s">
        <v>32</v>
      </c>
      <c r="B10" s="3" t="s">
        <v>28</v>
      </c>
      <c r="C10" s="3" t="s">
        <v>30</v>
      </c>
      <c r="D10" s="3" t="s">
        <v>29</v>
      </c>
      <c r="E10" s="3" t="s">
        <v>31</v>
      </c>
      <c r="G10" s="3" t="s">
        <v>50</v>
      </c>
      <c r="H10" s="3" t="s">
        <v>51</v>
      </c>
      <c r="I10" s="3" t="s">
        <v>52</v>
      </c>
      <c r="J10" s="3" t="s">
        <v>53</v>
      </c>
      <c r="K10" s="3" t="s">
        <v>39</v>
      </c>
      <c r="L10" s="3" t="s">
        <v>59</v>
      </c>
      <c r="N10" s="26" t="s">
        <v>72</v>
      </c>
      <c r="O10" s="4"/>
      <c r="P10" s="4"/>
      <c r="Q10" s="4"/>
    </row>
    <row r="11" spans="1:11" ht="12.75">
      <c r="A11" s="1"/>
      <c r="K11" s="5"/>
    </row>
    <row r="12" spans="1:17" ht="12.75">
      <c r="A12" s="1">
        <v>1</v>
      </c>
      <c r="B12" s="7">
        <v>989.152125847292</v>
      </c>
      <c r="C12" s="7">
        <v>845.080783676662</v>
      </c>
      <c r="D12" s="7">
        <v>1450.6866295177704</v>
      </c>
      <c r="E12" s="7">
        <f aca="true" t="shared" si="0" ref="E12:E19">B12+C12+D12</f>
        <v>3284.9195390417244</v>
      </c>
      <c r="F12" s="7"/>
      <c r="G12" s="7">
        <f aca="true" t="shared" si="1" ref="G12:G31">B$36*(1-$J$38)-B12</f>
        <v>50.84787415270796</v>
      </c>
      <c r="H12" s="7">
        <f aca="true" t="shared" si="2" ref="H12:H31">C$36*(1-$J$38)-C12</f>
        <v>298.9192163233382</v>
      </c>
      <c r="I12" s="7">
        <f aca="true" t="shared" si="3" ref="I12:I31">D$36*(1-$J$38)-D12</f>
        <v>-192.28662951776982</v>
      </c>
      <c r="J12" s="7">
        <f aca="true" t="shared" si="4" ref="J12:J31">E$36*(1-$J$38)-E12</f>
        <v>157.48046095827567</v>
      </c>
      <c r="K12" s="16">
        <f aca="true" t="shared" si="5" ref="K12:K31">MAX(E$36*(1-$J$38)-E12,0)*$J$39</f>
        <v>55.11816133539648</v>
      </c>
      <c r="L12" s="21">
        <f aca="true" t="shared" si="6" ref="L12:L31">IF(J12&gt;0,$J$39,0)</f>
        <v>0.35</v>
      </c>
      <c r="N12" s="7">
        <f aca="true" t="shared" si="7" ref="N12:N19">G12*$L12</f>
        <v>17.796755953447786</v>
      </c>
      <c r="O12" s="7">
        <f aca="true" t="shared" si="8" ref="O12:O19">H12*$L12</f>
        <v>104.62172571316837</v>
      </c>
      <c r="P12" s="7">
        <f aca="true" t="shared" si="9" ref="P12:P19">I12*$L12</f>
        <v>-67.30032033121944</v>
      </c>
      <c r="Q12" s="7">
        <f>N12+O12+P12</f>
        <v>55.11816133539672</v>
      </c>
    </row>
    <row r="13" spans="1:17" ht="12.75">
      <c r="A13" s="1">
        <f>A12+1</f>
        <v>2</v>
      </c>
      <c r="B13" s="7">
        <v>1012.6766523695982</v>
      </c>
      <c r="C13" s="7">
        <v>897.0732107304535</v>
      </c>
      <c r="D13" s="7">
        <v>1609.623145330093</v>
      </c>
      <c r="E13" s="7">
        <f t="shared" si="0"/>
        <v>3519.3730084301446</v>
      </c>
      <c r="F13" s="7"/>
      <c r="G13" s="7">
        <f t="shared" si="1"/>
        <v>27.323347630401827</v>
      </c>
      <c r="H13" s="7">
        <f t="shared" si="2"/>
        <v>246.9267892695467</v>
      </c>
      <c r="I13" s="7">
        <f t="shared" si="3"/>
        <v>-351.2231453300924</v>
      </c>
      <c r="J13" s="7">
        <f t="shared" si="4"/>
        <v>-76.97300843014455</v>
      </c>
      <c r="K13" s="16">
        <f t="shared" si="5"/>
        <v>0</v>
      </c>
      <c r="L13" s="21">
        <f t="shared" si="6"/>
        <v>0</v>
      </c>
      <c r="N13" s="7">
        <f t="shared" si="7"/>
        <v>0</v>
      </c>
      <c r="O13" s="7">
        <f t="shared" si="8"/>
        <v>0</v>
      </c>
      <c r="P13" s="7">
        <f t="shared" si="9"/>
        <v>0</v>
      </c>
      <c r="Q13" s="7">
        <f aca="true" t="shared" si="10" ref="Q13:Q19">N13+O13+P13</f>
        <v>0</v>
      </c>
    </row>
    <row r="14" spans="1:17" ht="12.75">
      <c r="A14" s="1">
        <f aca="true" t="shared" si="11" ref="A14:A19">A13+1</f>
        <v>3</v>
      </c>
      <c r="B14" s="7">
        <v>1986.8092375477256</v>
      </c>
      <c r="C14" s="7">
        <v>956.3581559556617</v>
      </c>
      <c r="D14" s="7">
        <v>1640.7490704660943</v>
      </c>
      <c r="E14" s="7">
        <f t="shared" si="0"/>
        <v>4583.916463969482</v>
      </c>
      <c r="F14" s="7"/>
      <c r="G14" s="7">
        <f t="shared" si="1"/>
        <v>-946.8092375477256</v>
      </c>
      <c r="H14" s="7">
        <f t="shared" si="2"/>
        <v>187.64184404433854</v>
      </c>
      <c r="I14" s="7">
        <f t="shared" si="3"/>
        <v>-382.34907046609374</v>
      </c>
      <c r="J14" s="7">
        <f t="shared" si="4"/>
        <v>-1141.5164639694817</v>
      </c>
      <c r="K14" s="16">
        <f t="shared" si="5"/>
        <v>0</v>
      </c>
      <c r="L14" s="21">
        <f t="shared" si="6"/>
        <v>0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si="10"/>
        <v>0</v>
      </c>
    </row>
    <row r="15" spans="1:17" ht="12.75">
      <c r="A15" s="1">
        <f t="shared" si="11"/>
        <v>4</v>
      </c>
      <c r="B15" s="7">
        <v>553.5950410877697</v>
      </c>
      <c r="C15" s="7">
        <v>1096.3354899772705</v>
      </c>
      <c r="D15" s="7">
        <v>426.5546941871407</v>
      </c>
      <c r="E15" s="7">
        <f t="shared" si="0"/>
        <v>2076.485225252181</v>
      </c>
      <c r="F15" s="7"/>
      <c r="G15" s="7">
        <f t="shared" si="1"/>
        <v>486.4049589122303</v>
      </c>
      <c r="H15" s="7">
        <f t="shared" si="2"/>
        <v>47.6645100227297</v>
      </c>
      <c r="I15" s="7">
        <f t="shared" si="3"/>
        <v>831.8453058128598</v>
      </c>
      <c r="J15" s="7">
        <f t="shared" si="4"/>
        <v>1365.9147747478191</v>
      </c>
      <c r="K15" s="16">
        <f t="shared" si="5"/>
        <v>478.07017116173665</v>
      </c>
      <c r="L15" s="21">
        <f t="shared" si="6"/>
        <v>0.35</v>
      </c>
      <c r="N15" s="7">
        <f t="shared" si="7"/>
        <v>170.2417356192806</v>
      </c>
      <c r="O15" s="7">
        <f t="shared" si="8"/>
        <v>16.682578507955395</v>
      </c>
      <c r="P15" s="7">
        <f t="shared" si="9"/>
        <v>291.1458570345009</v>
      </c>
      <c r="Q15" s="7">
        <f t="shared" si="10"/>
        <v>478.0701711617369</v>
      </c>
    </row>
    <row r="16" spans="1:17" ht="12.75">
      <c r="A16" s="1">
        <f t="shared" si="11"/>
        <v>5</v>
      </c>
      <c r="B16" s="7">
        <v>1719.0313259110949</v>
      </c>
      <c r="C16" s="7">
        <v>789.6031204419668</v>
      </c>
      <c r="D16" s="7">
        <v>2149.5947215978745</v>
      </c>
      <c r="E16" s="7">
        <f t="shared" si="0"/>
        <v>4658.229167950936</v>
      </c>
      <c r="F16" s="7"/>
      <c r="G16" s="7">
        <f t="shared" si="1"/>
        <v>-679.0313259110949</v>
      </c>
      <c r="H16" s="7">
        <f t="shared" si="2"/>
        <v>354.39687955803345</v>
      </c>
      <c r="I16" s="7">
        <f t="shared" si="3"/>
        <v>-891.1947215978739</v>
      </c>
      <c r="J16" s="7">
        <f t="shared" si="4"/>
        <v>-1215.8291679509362</v>
      </c>
      <c r="K16" s="16">
        <f t="shared" si="5"/>
        <v>0</v>
      </c>
      <c r="L16" s="21">
        <f t="shared" si="6"/>
        <v>0</v>
      </c>
      <c r="N16" s="7">
        <f t="shared" si="7"/>
        <v>0</v>
      </c>
      <c r="O16" s="7">
        <f t="shared" si="8"/>
        <v>0</v>
      </c>
      <c r="P16" s="7">
        <f t="shared" si="9"/>
        <v>0</v>
      </c>
      <c r="Q16" s="7">
        <f t="shared" si="10"/>
        <v>0</v>
      </c>
    </row>
    <row r="17" spans="1:17" ht="12.75">
      <c r="A17" s="1">
        <f t="shared" si="11"/>
        <v>6</v>
      </c>
      <c r="B17" s="7">
        <v>1408.9929873573337</v>
      </c>
      <c r="C17" s="7">
        <v>523.5972452507851</v>
      </c>
      <c r="D17" s="7">
        <v>646.0711482202518</v>
      </c>
      <c r="E17" s="7">
        <f t="shared" si="0"/>
        <v>2578.6613808283705</v>
      </c>
      <c r="F17" s="7"/>
      <c r="G17" s="7">
        <f t="shared" si="1"/>
        <v>-368.99298735733373</v>
      </c>
      <c r="H17" s="7">
        <f t="shared" si="2"/>
        <v>620.4027547492151</v>
      </c>
      <c r="I17" s="7">
        <f t="shared" si="3"/>
        <v>612.3288517797488</v>
      </c>
      <c r="J17" s="7">
        <f t="shared" si="4"/>
        <v>863.7386191716296</v>
      </c>
      <c r="K17" s="16">
        <f t="shared" si="5"/>
        <v>302.3085167100703</v>
      </c>
      <c r="L17" s="21">
        <f t="shared" si="6"/>
        <v>0.35</v>
      </c>
      <c r="N17" s="7">
        <f t="shared" si="7"/>
        <v>-129.1475455750668</v>
      </c>
      <c r="O17" s="7">
        <f t="shared" si="8"/>
        <v>217.14096416222526</v>
      </c>
      <c r="P17" s="7">
        <f t="shared" si="9"/>
        <v>214.31509812291208</v>
      </c>
      <c r="Q17" s="7">
        <f t="shared" si="10"/>
        <v>302.30851671007053</v>
      </c>
    </row>
    <row r="18" spans="1:17" ht="12.75">
      <c r="A18" s="1">
        <f t="shared" si="11"/>
        <v>7</v>
      </c>
      <c r="B18" s="7">
        <v>968.6014392788586</v>
      </c>
      <c r="C18" s="7">
        <v>881.2148079733022</v>
      </c>
      <c r="D18" s="7">
        <v>2164.617792450436</v>
      </c>
      <c r="E18" s="7">
        <f t="shared" si="0"/>
        <v>4014.4340397025967</v>
      </c>
      <c r="F18" s="7"/>
      <c r="G18" s="7">
        <f t="shared" si="1"/>
        <v>71.3985607211414</v>
      </c>
      <c r="H18" s="7">
        <f t="shared" si="2"/>
        <v>262.78519202669804</v>
      </c>
      <c r="I18" s="7">
        <f t="shared" si="3"/>
        <v>-906.2177924504354</v>
      </c>
      <c r="J18" s="7">
        <f t="shared" si="4"/>
        <v>-572.0340397025966</v>
      </c>
      <c r="K18" s="16">
        <f t="shared" si="5"/>
        <v>0</v>
      </c>
      <c r="L18" s="21">
        <f t="shared" si="6"/>
        <v>0</v>
      </c>
      <c r="N18" s="7">
        <f t="shared" si="7"/>
        <v>0</v>
      </c>
      <c r="O18" s="7">
        <f t="shared" si="8"/>
        <v>0</v>
      </c>
      <c r="P18" s="7">
        <f t="shared" si="9"/>
        <v>0</v>
      </c>
      <c r="Q18" s="7">
        <f t="shared" si="10"/>
        <v>0</v>
      </c>
    </row>
    <row r="19" spans="1:17" ht="12.75">
      <c r="A19" s="1">
        <f t="shared" si="11"/>
        <v>8</v>
      </c>
      <c r="B19" s="7">
        <v>610.9339472244355</v>
      </c>
      <c r="C19" s="7">
        <v>546.0239155745163</v>
      </c>
      <c r="D19" s="7">
        <v>851.22650718028</v>
      </c>
      <c r="E19" s="7">
        <f t="shared" si="0"/>
        <v>2008.1843699792316</v>
      </c>
      <c r="F19" s="7"/>
      <c r="G19" s="7">
        <f t="shared" si="1"/>
        <v>429.06605277556446</v>
      </c>
      <c r="H19" s="7">
        <f t="shared" si="2"/>
        <v>597.9760844254839</v>
      </c>
      <c r="I19" s="7">
        <f t="shared" si="3"/>
        <v>407.17349281972054</v>
      </c>
      <c r="J19" s="7">
        <f t="shared" si="4"/>
        <v>1434.2156300207685</v>
      </c>
      <c r="K19" s="16">
        <f t="shared" si="5"/>
        <v>501.97547050726894</v>
      </c>
      <c r="L19" s="21">
        <f t="shared" si="6"/>
        <v>0.35</v>
      </c>
      <c r="N19" s="7">
        <f t="shared" si="7"/>
        <v>150.17311847144754</v>
      </c>
      <c r="O19" s="7">
        <f t="shared" si="8"/>
        <v>209.29162954891936</v>
      </c>
      <c r="P19" s="7">
        <f t="shared" si="9"/>
        <v>142.51072248690218</v>
      </c>
      <c r="Q19" s="7">
        <f t="shared" si="10"/>
        <v>501.97547050726905</v>
      </c>
    </row>
    <row r="20" spans="1:17" ht="12.75">
      <c r="A20" s="1">
        <f>A19+1</f>
        <v>9</v>
      </c>
      <c r="B20" s="7">
        <v>659.6762752880164</v>
      </c>
      <c r="C20" s="7">
        <v>756.2858525760247</v>
      </c>
      <c r="D20" s="7">
        <v>855.4441148480742</v>
      </c>
      <c r="E20" s="7">
        <f>B20+C20+D20</f>
        <v>2271.4062427121153</v>
      </c>
      <c r="F20" s="7"/>
      <c r="G20" s="7">
        <f t="shared" si="1"/>
        <v>380.3237247119836</v>
      </c>
      <c r="H20" s="7">
        <f t="shared" si="2"/>
        <v>387.71414742397553</v>
      </c>
      <c r="I20" s="7">
        <f t="shared" si="3"/>
        <v>402.9558851519264</v>
      </c>
      <c r="J20" s="7">
        <f t="shared" si="4"/>
        <v>1170.9937572878848</v>
      </c>
      <c r="K20" s="16">
        <f t="shared" si="5"/>
        <v>409.84781505075966</v>
      </c>
      <c r="L20" s="21">
        <f t="shared" si="6"/>
        <v>0.35</v>
      </c>
      <c r="N20" s="7">
        <f aca="true" t="shared" si="12" ref="N20:P21">G20*$L20</f>
        <v>133.11330364919425</v>
      </c>
      <c r="O20" s="7">
        <f t="shared" si="12"/>
        <v>135.69995159839144</v>
      </c>
      <c r="P20" s="7">
        <f t="shared" si="12"/>
        <v>141.03455980317423</v>
      </c>
      <c r="Q20" s="7">
        <f>N20+O20+P20</f>
        <v>409.8478150507599</v>
      </c>
    </row>
    <row r="21" spans="1:17" ht="12.75">
      <c r="A21" s="1">
        <f>A20+1</f>
        <v>10</v>
      </c>
      <c r="B21" s="7">
        <v>1362.2996022723783</v>
      </c>
      <c r="C21" s="7">
        <v>1108.7516903094743</v>
      </c>
      <c r="D21" s="7">
        <v>895.1679406303443</v>
      </c>
      <c r="E21" s="7">
        <f>B21+C21+D21</f>
        <v>3366.2192332121967</v>
      </c>
      <c r="F21" s="7"/>
      <c r="G21" s="7">
        <f t="shared" si="1"/>
        <v>-322.29960227237825</v>
      </c>
      <c r="H21" s="7">
        <f t="shared" si="2"/>
        <v>35.24830969052596</v>
      </c>
      <c r="I21" s="7">
        <f t="shared" si="3"/>
        <v>363.2320593696562</v>
      </c>
      <c r="J21" s="7">
        <f t="shared" si="4"/>
        <v>76.18076678780335</v>
      </c>
      <c r="K21" s="16">
        <f t="shared" si="5"/>
        <v>26.66326837573117</v>
      </c>
      <c r="L21" s="21">
        <f t="shared" si="6"/>
        <v>0.35</v>
      </c>
      <c r="N21" s="7">
        <f t="shared" si="12"/>
        <v>-112.80486079533237</v>
      </c>
      <c r="O21" s="7">
        <f t="shared" si="12"/>
        <v>12.336908391684084</v>
      </c>
      <c r="P21" s="7">
        <f t="shared" si="12"/>
        <v>127.13122077937966</v>
      </c>
      <c r="Q21" s="7">
        <f>N21+O21+P21</f>
        <v>26.663268375731363</v>
      </c>
    </row>
    <row r="22" spans="1:17" ht="12.75">
      <c r="A22" s="1">
        <f aca="true" t="shared" si="13" ref="A22:A31">A21+1</f>
        <v>11</v>
      </c>
      <c r="B22" s="7">
        <v>1551.514870432423</v>
      </c>
      <c r="C22" s="7">
        <v>1104.9328287790036</v>
      </c>
      <c r="D22" s="7">
        <v>1209.6733682503007</v>
      </c>
      <c r="E22" s="7">
        <f aca="true" t="shared" si="14" ref="E22:E31">B22+C22+D22</f>
        <v>3866.1210674617278</v>
      </c>
      <c r="F22" s="7"/>
      <c r="G22" s="7">
        <f t="shared" si="1"/>
        <v>-511.5148704324231</v>
      </c>
      <c r="H22" s="7">
        <f t="shared" si="2"/>
        <v>39.06717122099667</v>
      </c>
      <c r="I22" s="7">
        <f t="shared" si="3"/>
        <v>48.72663174969989</v>
      </c>
      <c r="J22" s="7">
        <f t="shared" si="4"/>
        <v>-423.72106746172767</v>
      </c>
      <c r="K22" s="16">
        <f t="shared" si="5"/>
        <v>0</v>
      </c>
      <c r="L22" s="21">
        <f t="shared" si="6"/>
        <v>0</v>
      </c>
      <c r="N22" s="7">
        <f aca="true" t="shared" si="15" ref="N22:N31">G22*$L22</f>
        <v>0</v>
      </c>
      <c r="O22" s="7">
        <f aca="true" t="shared" si="16" ref="O22:O31">H22*$L22</f>
        <v>0</v>
      </c>
      <c r="P22" s="7">
        <f aca="true" t="shared" si="17" ref="P22:P31">I22*$L22</f>
        <v>0</v>
      </c>
      <c r="Q22" s="7">
        <f aca="true" t="shared" si="18" ref="Q22:Q31">N22+O22+P22</f>
        <v>0</v>
      </c>
    </row>
    <row r="23" spans="1:17" ht="12.75">
      <c r="A23" s="1">
        <f t="shared" si="13"/>
        <v>12</v>
      </c>
      <c r="B23" s="7">
        <v>684.4261858593477</v>
      </c>
      <c r="C23" s="7">
        <v>1165.6351130463684</v>
      </c>
      <c r="D23" s="7">
        <v>537.6400493104891</v>
      </c>
      <c r="E23" s="7">
        <f t="shared" si="14"/>
        <v>2387.701348216205</v>
      </c>
      <c r="F23" s="7"/>
      <c r="G23" s="7">
        <f t="shared" si="1"/>
        <v>355.5738141406523</v>
      </c>
      <c r="H23" s="7">
        <f t="shared" si="2"/>
        <v>-21.635113046368133</v>
      </c>
      <c r="I23" s="7">
        <f t="shared" si="3"/>
        <v>720.7599506895115</v>
      </c>
      <c r="J23" s="7">
        <f t="shared" si="4"/>
        <v>1054.698651783795</v>
      </c>
      <c r="K23" s="16">
        <f t="shared" si="5"/>
        <v>369.1445281243282</v>
      </c>
      <c r="L23" s="21">
        <f t="shared" si="6"/>
        <v>0.35</v>
      </c>
      <c r="N23" s="7">
        <f t="shared" si="15"/>
        <v>124.4508349492283</v>
      </c>
      <c r="O23" s="7">
        <f t="shared" si="16"/>
        <v>-7.572289566228846</v>
      </c>
      <c r="P23" s="7">
        <f t="shared" si="17"/>
        <v>252.265982741329</v>
      </c>
      <c r="Q23" s="7">
        <f t="shared" si="18"/>
        <v>369.1445281243284</v>
      </c>
    </row>
    <row r="24" spans="1:17" ht="12.75">
      <c r="A24" s="1">
        <f t="shared" si="13"/>
        <v>13</v>
      </c>
      <c r="B24" s="7">
        <v>1193.0691020659444</v>
      </c>
      <c r="C24" s="7">
        <v>1111.3102871190567</v>
      </c>
      <c r="D24" s="7">
        <v>927.300982224437</v>
      </c>
      <c r="E24" s="7">
        <f t="shared" si="14"/>
        <v>3231.680371409438</v>
      </c>
      <c r="F24" s="7"/>
      <c r="G24" s="7">
        <f t="shared" si="1"/>
        <v>-153.06910206594443</v>
      </c>
      <c r="H24" s="7">
        <f t="shared" si="2"/>
        <v>32.68971288094349</v>
      </c>
      <c r="I24" s="7">
        <f t="shared" si="3"/>
        <v>331.09901777556354</v>
      </c>
      <c r="J24" s="7">
        <f t="shared" si="4"/>
        <v>210.71962859056202</v>
      </c>
      <c r="K24" s="16">
        <f t="shared" si="5"/>
        <v>73.7518700066967</v>
      </c>
      <c r="L24" s="21">
        <f t="shared" si="6"/>
        <v>0.35</v>
      </c>
      <c r="N24" s="7">
        <f t="shared" si="15"/>
        <v>-53.57418572308055</v>
      </c>
      <c r="O24" s="7">
        <f t="shared" si="16"/>
        <v>11.441399508330221</v>
      </c>
      <c r="P24" s="7">
        <f t="shared" si="17"/>
        <v>115.88465622144723</v>
      </c>
      <c r="Q24" s="7">
        <f t="shared" si="18"/>
        <v>73.7518700066969</v>
      </c>
    </row>
    <row r="25" spans="1:17" ht="12.75">
      <c r="A25" s="1">
        <f t="shared" si="13"/>
        <v>14</v>
      </c>
      <c r="B25" s="7">
        <v>1473.1876360013712</v>
      </c>
      <c r="C25" s="7">
        <v>619.2996099113248</v>
      </c>
      <c r="D25" s="7">
        <v>899.2336790540741</v>
      </c>
      <c r="E25" s="7">
        <f t="shared" si="14"/>
        <v>2991.72092496677</v>
      </c>
      <c r="F25" s="7"/>
      <c r="G25" s="7">
        <f t="shared" si="1"/>
        <v>-433.1876360013712</v>
      </c>
      <c r="H25" s="7">
        <f t="shared" si="2"/>
        <v>524.7003900886755</v>
      </c>
      <c r="I25" s="7">
        <f t="shared" si="3"/>
        <v>359.1663209459265</v>
      </c>
      <c r="J25" s="7">
        <f t="shared" si="4"/>
        <v>450.6790750332302</v>
      </c>
      <c r="K25" s="16">
        <f t="shared" si="5"/>
        <v>157.73767626163055</v>
      </c>
      <c r="L25" s="21">
        <f t="shared" si="6"/>
        <v>0.35</v>
      </c>
      <c r="N25" s="7">
        <f t="shared" si="15"/>
        <v>-151.6156726004799</v>
      </c>
      <c r="O25" s="7">
        <f t="shared" si="16"/>
        <v>183.6451365310364</v>
      </c>
      <c r="P25" s="7">
        <f t="shared" si="17"/>
        <v>125.70821233107426</v>
      </c>
      <c r="Q25" s="7">
        <f t="shared" si="18"/>
        <v>157.73767626163075</v>
      </c>
    </row>
    <row r="26" spans="1:17" ht="12.75">
      <c r="A26" s="1">
        <f t="shared" si="13"/>
        <v>15</v>
      </c>
      <c r="B26" s="7">
        <v>613.2887216417017</v>
      </c>
      <c r="C26" s="7">
        <v>1081.4929960585855</v>
      </c>
      <c r="D26" s="7">
        <v>1369.3340010398801</v>
      </c>
      <c r="E26" s="7">
        <f t="shared" si="14"/>
        <v>3064.1157187401673</v>
      </c>
      <c r="F26" s="7"/>
      <c r="G26" s="7">
        <f t="shared" si="1"/>
        <v>426.7112783582983</v>
      </c>
      <c r="H26" s="7">
        <f t="shared" si="2"/>
        <v>62.50700394141472</v>
      </c>
      <c r="I26" s="7">
        <f t="shared" si="3"/>
        <v>-110.9340010398796</v>
      </c>
      <c r="J26" s="7">
        <f t="shared" si="4"/>
        <v>378.2842812598328</v>
      </c>
      <c r="K26" s="16">
        <f t="shared" si="5"/>
        <v>132.39949844094147</v>
      </c>
      <c r="L26" s="21">
        <f t="shared" si="6"/>
        <v>0.35</v>
      </c>
      <c r="N26" s="7">
        <f t="shared" si="15"/>
        <v>149.3489474254044</v>
      </c>
      <c r="O26" s="7">
        <f t="shared" si="16"/>
        <v>21.877451379495152</v>
      </c>
      <c r="P26" s="7">
        <f t="shared" si="17"/>
        <v>-38.82690036395786</v>
      </c>
      <c r="Q26" s="7">
        <f t="shared" si="18"/>
        <v>132.39949844094167</v>
      </c>
    </row>
    <row r="27" spans="1:17" ht="12.75">
      <c r="A27" s="1">
        <f t="shared" si="13"/>
        <v>16</v>
      </c>
      <c r="B27" s="7">
        <v>624.9214756223324</v>
      </c>
      <c r="C27" s="7">
        <v>1368.0170925342547</v>
      </c>
      <c r="D27" s="7">
        <v>1646.6730601502868</v>
      </c>
      <c r="E27" s="7">
        <f t="shared" si="14"/>
        <v>3639.611628306874</v>
      </c>
      <c r="F27" s="7"/>
      <c r="G27" s="7">
        <f t="shared" si="1"/>
        <v>415.0785243776676</v>
      </c>
      <c r="H27" s="7">
        <f t="shared" si="2"/>
        <v>-224.01709253425452</v>
      </c>
      <c r="I27" s="7">
        <f t="shared" si="3"/>
        <v>-388.27306015028626</v>
      </c>
      <c r="J27" s="7">
        <f t="shared" si="4"/>
        <v>-197.211628306874</v>
      </c>
      <c r="K27" s="16">
        <f t="shared" si="5"/>
        <v>0</v>
      </c>
      <c r="L27" s="21">
        <f t="shared" si="6"/>
        <v>0</v>
      </c>
      <c r="N27" s="7">
        <f t="shared" si="15"/>
        <v>0</v>
      </c>
      <c r="O27" s="7">
        <f t="shared" si="16"/>
        <v>0</v>
      </c>
      <c r="P27" s="7">
        <f t="shared" si="17"/>
        <v>0</v>
      </c>
      <c r="Q27" s="7">
        <f t="shared" si="18"/>
        <v>0</v>
      </c>
    </row>
    <row r="28" spans="1:17" ht="12.75">
      <c r="A28" s="1">
        <f t="shared" si="13"/>
        <v>17</v>
      </c>
      <c r="B28" s="7">
        <v>812.6640401286062</v>
      </c>
      <c r="C28" s="7">
        <v>934.2735937178497</v>
      </c>
      <c r="D28" s="7">
        <v>648.0383829033977</v>
      </c>
      <c r="E28" s="7">
        <f t="shared" si="14"/>
        <v>2394.9760167498534</v>
      </c>
      <c r="F28" s="7"/>
      <c r="G28" s="7">
        <f t="shared" si="1"/>
        <v>227.3359598713938</v>
      </c>
      <c r="H28" s="7">
        <f t="shared" si="2"/>
        <v>209.7264062821505</v>
      </c>
      <c r="I28" s="7">
        <f t="shared" si="3"/>
        <v>610.3616170966028</v>
      </c>
      <c r="J28" s="7">
        <f t="shared" si="4"/>
        <v>1047.4239832501466</v>
      </c>
      <c r="K28" s="16">
        <f t="shared" si="5"/>
        <v>366.5983941375513</v>
      </c>
      <c r="L28" s="21">
        <f t="shared" si="6"/>
        <v>0.35</v>
      </c>
      <c r="N28" s="7">
        <f t="shared" si="15"/>
        <v>79.56758595498783</v>
      </c>
      <c r="O28" s="7">
        <f t="shared" si="16"/>
        <v>73.40424219875267</v>
      </c>
      <c r="P28" s="7">
        <f t="shared" si="17"/>
        <v>213.62656598381096</v>
      </c>
      <c r="Q28" s="7">
        <f t="shared" si="18"/>
        <v>366.59839413755145</v>
      </c>
    </row>
    <row r="29" spans="1:17" ht="12.75">
      <c r="A29" s="1">
        <f t="shared" si="13"/>
        <v>18</v>
      </c>
      <c r="B29" s="7">
        <v>555.0552886139762</v>
      </c>
      <c r="C29" s="7">
        <v>1326.1266620282445</v>
      </c>
      <c r="D29" s="7">
        <v>2289.320965254948</v>
      </c>
      <c r="E29" s="7">
        <f t="shared" si="14"/>
        <v>4170.502915897168</v>
      </c>
      <c r="F29" s="7"/>
      <c r="G29" s="7">
        <f t="shared" si="1"/>
        <v>484.94471138602376</v>
      </c>
      <c r="H29" s="7">
        <f t="shared" si="2"/>
        <v>-182.12666202824425</v>
      </c>
      <c r="I29" s="7">
        <f t="shared" si="3"/>
        <v>-1030.9209652549475</v>
      </c>
      <c r="J29" s="7">
        <f t="shared" si="4"/>
        <v>-728.1029158971683</v>
      </c>
      <c r="K29" s="16">
        <f t="shared" si="5"/>
        <v>0</v>
      </c>
      <c r="L29" s="21">
        <f t="shared" si="6"/>
        <v>0</v>
      </c>
      <c r="N29" s="7">
        <f t="shared" si="15"/>
        <v>0</v>
      </c>
      <c r="O29" s="7">
        <f t="shared" si="16"/>
        <v>0</v>
      </c>
      <c r="P29" s="7">
        <f t="shared" si="17"/>
        <v>0</v>
      </c>
      <c r="Q29" s="7">
        <f t="shared" si="18"/>
        <v>0</v>
      </c>
    </row>
    <row r="30" spans="1:17" ht="12.75">
      <c r="A30" s="1">
        <f t="shared" si="13"/>
        <v>19</v>
      </c>
      <c r="B30" s="7">
        <v>882.2415000889417</v>
      </c>
      <c r="C30" s="7">
        <v>2000.9686813401345</v>
      </c>
      <c r="D30" s="7">
        <v>560.8483485920954</v>
      </c>
      <c r="E30" s="7">
        <f t="shared" si="14"/>
        <v>3444.0585300211715</v>
      </c>
      <c r="F30" s="7"/>
      <c r="G30" s="7">
        <f t="shared" si="1"/>
        <v>157.75849991105827</v>
      </c>
      <c r="H30" s="7">
        <f t="shared" si="2"/>
        <v>-856.9686813401343</v>
      </c>
      <c r="I30" s="7">
        <f t="shared" si="3"/>
        <v>697.5516514079052</v>
      </c>
      <c r="J30" s="7">
        <f t="shared" si="4"/>
        <v>-1.658530021171373</v>
      </c>
      <c r="K30" s="16">
        <f t="shared" si="5"/>
        <v>0</v>
      </c>
      <c r="L30" s="21">
        <f t="shared" si="6"/>
        <v>0</v>
      </c>
      <c r="N30" s="7">
        <f t="shared" si="15"/>
        <v>0</v>
      </c>
      <c r="O30" s="7">
        <f t="shared" si="16"/>
        <v>0</v>
      </c>
      <c r="P30" s="7">
        <f t="shared" si="17"/>
        <v>0</v>
      </c>
      <c r="Q30" s="7">
        <f t="shared" si="18"/>
        <v>0</v>
      </c>
    </row>
    <row r="31" spans="1:17" ht="12.75">
      <c r="A31" s="1">
        <f t="shared" si="13"/>
        <v>20</v>
      </c>
      <c r="B31" s="7">
        <v>716.8779574722757</v>
      </c>
      <c r="C31" s="7">
        <v>415.8383037699377</v>
      </c>
      <c r="D31" s="7">
        <v>650.4855898519086</v>
      </c>
      <c r="E31" s="7">
        <f t="shared" si="14"/>
        <v>1783.201851094122</v>
      </c>
      <c r="F31" s="7"/>
      <c r="G31" s="7">
        <f t="shared" si="1"/>
        <v>323.12204252772426</v>
      </c>
      <c r="H31" s="7">
        <f t="shared" si="2"/>
        <v>728.1616962300625</v>
      </c>
      <c r="I31" s="7">
        <f t="shared" si="3"/>
        <v>607.914410148092</v>
      </c>
      <c r="J31" s="7">
        <f t="shared" si="4"/>
        <v>1659.198148905878</v>
      </c>
      <c r="K31" s="16">
        <f t="shared" si="5"/>
        <v>580.7193521170573</v>
      </c>
      <c r="L31" s="21">
        <f t="shared" si="6"/>
        <v>0.35</v>
      </c>
      <c r="N31" s="7">
        <f t="shared" si="15"/>
        <v>113.09271488470348</v>
      </c>
      <c r="O31" s="7">
        <f t="shared" si="16"/>
        <v>254.85659368052185</v>
      </c>
      <c r="P31" s="7">
        <f t="shared" si="17"/>
        <v>212.77004355183217</v>
      </c>
      <c r="Q31" s="7">
        <f t="shared" si="18"/>
        <v>580.7193521170575</v>
      </c>
    </row>
    <row r="32" spans="2:16" ht="12.75">
      <c r="B32" s="7"/>
      <c r="C32" s="7"/>
      <c r="D32" s="7"/>
      <c r="G32" s="7"/>
      <c r="H32" s="7"/>
      <c r="I32" s="7"/>
      <c r="K32" s="5"/>
      <c r="N32" s="7"/>
      <c r="O32" s="7"/>
      <c r="P32" s="7"/>
    </row>
    <row r="33" spans="1:17" ht="12.75">
      <c r="A33" s="1" t="s">
        <v>11</v>
      </c>
      <c r="B33" s="7">
        <f>AVERAGE(B12:B31)</f>
        <v>1018.9507706055713</v>
      </c>
      <c r="C33" s="7">
        <f>AVERAGE(C12:C31)</f>
        <v>976.4109720385438</v>
      </c>
      <c r="D33" s="7">
        <f>AVERAGE(D12:D31)</f>
        <v>1171.4142095530085</v>
      </c>
      <c r="E33" s="7">
        <f>B33+C33+D33</f>
        <v>3166.775952197124</v>
      </c>
      <c r="F33" s="7"/>
      <c r="G33" s="7">
        <f>AVERAGE(G12:G31)</f>
        <v>21.049229394428817</v>
      </c>
      <c r="H33" s="7">
        <f>AVERAGE(H12:H31)</f>
        <v>167.5890279614564</v>
      </c>
      <c r="I33" s="7">
        <f>AVERAGE(I12:I31)</f>
        <v>86.98579044699171</v>
      </c>
      <c r="J33" s="7">
        <f>G33+H33+I33</f>
        <v>275.62404780287693</v>
      </c>
      <c r="K33" s="16">
        <f>AVERAGE(K12:K31)</f>
        <v>172.71673611145843</v>
      </c>
      <c r="L33" s="7"/>
      <c r="N33" s="7">
        <f>AVERAGE(N12:N31)</f>
        <v>24.532136610686727</v>
      </c>
      <c r="O33" s="7">
        <f>AVERAGE(O12:O31)</f>
        <v>61.671314582712554</v>
      </c>
      <c r="P33" s="7">
        <f>AVERAGE(P12:P31)</f>
        <v>86.51328491805927</v>
      </c>
      <c r="Q33" s="16">
        <f>N33+O33+P33</f>
        <v>172.71673611145854</v>
      </c>
    </row>
    <row r="34" spans="14:16" ht="12.75">
      <c r="N34" s="2"/>
      <c r="O34" s="2"/>
      <c r="P34" s="2"/>
    </row>
    <row r="35" spans="2:11" ht="12.75">
      <c r="B35" s="7"/>
      <c r="C35" s="7"/>
      <c r="D35" s="7"/>
      <c r="K35" s="29" t="str">
        <f>"*  r(x) = MAX(P-E-X,0)x"&amp;TEXT(J39,"00.0%")</f>
        <v>*  r(x) = MAX(P-E-X,0)x35.0%</v>
      </c>
    </row>
    <row r="36" spans="1:11" ht="12.75">
      <c r="A36" t="s">
        <v>15</v>
      </c>
      <c r="B36" s="8">
        <v>1300</v>
      </c>
      <c r="C36" s="8">
        <f>B36*1.1</f>
        <v>1430.0000000000002</v>
      </c>
      <c r="D36" s="8">
        <f>C36*1.1</f>
        <v>1573.0000000000005</v>
      </c>
      <c r="E36" s="7">
        <f>B36+C36+D36</f>
        <v>4303</v>
      </c>
      <c r="K36" t="str">
        <f>"** "&amp;L10&amp;" = "&amp;K10&amp;"/["&amp;J10&amp;"]"</f>
        <v>** L(x) = r(x)/[P-E-X]</v>
      </c>
    </row>
    <row r="37" spans="1:5" ht="12.75">
      <c r="A37" t="s">
        <v>25</v>
      </c>
      <c r="B37" s="2">
        <f>B38/B36</f>
        <v>0.7692307692307693</v>
      </c>
      <c r="C37" s="2">
        <f>C38/C36</f>
        <v>0.7412587412587411</v>
      </c>
      <c r="D37" s="2">
        <f>D38/D36</f>
        <v>0.7143038779402414</v>
      </c>
      <c r="E37" s="2">
        <f>E38/E36</f>
        <v>0.7115718488999696</v>
      </c>
    </row>
    <row r="38" spans="1:12" ht="12.75">
      <c r="A38" t="s">
        <v>14</v>
      </c>
      <c r="B38" s="8">
        <v>1000</v>
      </c>
      <c r="C38" s="8">
        <f>B38*1.06</f>
        <v>1060</v>
      </c>
      <c r="D38" s="8">
        <f>C38*1.06</f>
        <v>1123.6000000000001</v>
      </c>
      <c r="E38" s="7">
        <f>AVERAGE(E15:E34)</f>
        <v>3061.8936658165694</v>
      </c>
      <c r="F38" s="7"/>
      <c r="G38" s="7"/>
      <c r="I38" t="s">
        <v>16</v>
      </c>
      <c r="J38" s="12">
        <v>0.2</v>
      </c>
      <c r="K38" s="7"/>
      <c r="L38" s="7"/>
    </row>
    <row r="39" spans="1:10" ht="12.75">
      <c r="A39" t="s">
        <v>7</v>
      </c>
      <c r="B39" s="7">
        <f>B38*B40</f>
        <v>500</v>
      </c>
      <c r="C39" s="7">
        <f>C38*C40</f>
        <v>530</v>
      </c>
      <c r="D39" s="7">
        <f>D38*D40</f>
        <v>561.8000000000001</v>
      </c>
      <c r="I39" t="s">
        <v>17</v>
      </c>
      <c r="J39" s="12">
        <v>0.35</v>
      </c>
    </row>
    <row r="40" spans="1:4" ht="12.75">
      <c r="A40" t="s">
        <v>10</v>
      </c>
      <c r="B40" s="9">
        <v>0.5</v>
      </c>
      <c r="C40" s="9">
        <v>0.5</v>
      </c>
      <c r="D40" s="9">
        <v>0.5</v>
      </c>
    </row>
    <row r="42" spans="1:4" ht="12.75">
      <c r="A42" t="s">
        <v>8</v>
      </c>
      <c r="B42" s="10">
        <f>LN(B38)-B43^2/2</f>
        <v>6.7961835033250315</v>
      </c>
      <c r="C42" s="10">
        <f>LN(C38)-C43^2/2</f>
        <v>6.8544524114490075</v>
      </c>
      <c r="D42" s="10">
        <f>LN(D38)-D43^2/2</f>
        <v>6.9127213195729835</v>
      </c>
    </row>
    <row r="43" spans="1:4" ht="12.75">
      <c r="A43" t="s">
        <v>9</v>
      </c>
      <c r="B43" s="10">
        <f>LN(B40^2+1)^0.5</f>
        <v>0.47238072707743883</v>
      </c>
      <c r="C43" s="10">
        <f>LN(C40^2+1)^0.5</f>
        <v>0.47238072707743883</v>
      </c>
      <c r="D43" s="10">
        <f>LN(D40^2+1)^0.5</f>
        <v>0.47238072707743883</v>
      </c>
    </row>
  </sheetData>
  <printOptions/>
  <pageMargins left="0.5" right="0.5" top="0.75" bottom="0.75" header="0.25" footer="0.2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1">
      <selection activeCell="D3" sqref="D3"/>
    </sheetView>
  </sheetViews>
  <sheetFormatPr defaultColWidth="9.140625" defaultRowHeight="12.75"/>
  <cols>
    <col min="1" max="5" width="10.7109375" style="0" customWidth="1"/>
    <col min="6" max="6" width="1.7109375" style="0" customWidth="1"/>
    <col min="7" max="10" width="10.7109375" style="0" customWidth="1"/>
    <col min="11" max="12" width="9.7109375" style="0" customWidth="1"/>
    <col min="13" max="13" width="1.7109375" style="0" customWidth="1"/>
    <col min="14" max="17" width="9.7109375" style="0" customWidth="1"/>
  </cols>
  <sheetData>
    <row r="1" spans="2:4" ht="15.75">
      <c r="B1" s="6" t="s">
        <v>62</v>
      </c>
      <c r="D1" s="6" t="s">
        <v>40</v>
      </c>
    </row>
    <row r="5" spans="2:16" ht="12.75">
      <c r="B5" s="23" t="s">
        <v>12</v>
      </c>
      <c r="C5" s="23"/>
      <c r="D5" s="23"/>
      <c r="E5" s="23"/>
      <c r="G5" s="11" t="s">
        <v>54</v>
      </c>
      <c r="H5" s="11"/>
      <c r="I5" s="11"/>
      <c r="J5" s="11"/>
      <c r="N5" s="11" t="s">
        <v>49</v>
      </c>
      <c r="O5" s="11"/>
      <c r="P5" s="11"/>
    </row>
    <row r="6" spans="2:16" ht="12.75">
      <c r="B6" s="22" t="s">
        <v>33</v>
      </c>
      <c r="C6" s="11"/>
      <c r="D6" s="11"/>
      <c r="E6" s="4"/>
      <c r="L6" s="3" t="s">
        <v>45</v>
      </c>
      <c r="N6" s="11"/>
      <c r="O6" s="11"/>
      <c r="P6" s="11"/>
    </row>
    <row r="7" spans="11:12" ht="12.75">
      <c r="K7" s="17" t="s">
        <v>48</v>
      </c>
      <c r="L7" s="3" t="s">
        <v>46</v>
      </c>
    </row>
    <row r="8" spans="1:17" ht="12.75">
      <c r="A8" s="14" t="s">
        <v>0</v>
      </c>
      <c r="B8" s="13" t="s">
        <v>2</v>
      </c>
      <c r="C8" s="13" t="s">
        <v>3</v>
      </c>
      <c r="D8" s="13" t="s">
        <v>4</v>
      </c>
      <c r="E8" s="13" t="s">
        <v>1</v>
      </c>
      <c r="F8" s="13"/>
      <c r="G8" s="13" t="s">
        <v>2</v>
      </c>
      <c r="H8" s="13" t="s">
        <v>3</v>
      </c>
      <c r="I8" s="13" t="s">
        <v>4</v>
      </c>
      <c r="J8" s="13" t="s">
        <v>1</v>
      </c>
      <c r="K8" s="18" t="s">
        <v>85</v>
      </c>
      <c r="L8" s="13" t="s">
        <v>84</v>
      </c>
      <c r="M8" s="15"/>
      <c r="N8" s="13" t="s">
        <v>2</v>
      </c>
      <c r="O8" s="13" t="s">
        <v>3</v>
      </c>
      <c r="P8" s="13" t="s">
        <v>4</v>
      </c>
      <c r="Q8" s="13" t="s">
        <v>1</v>
      </c>
    </row>
    <row r="9" spans="1:11" ht="12.75">
      <c r="A9" s="1"/>
      <c r="K9" s="5"/>
    </row>
    <row r="10" spans="1:17" ht="15.75">
      <c r="A10" s="1" t="s">
        <v>32</v>
      </c>
      <c r="B10" s="3" t="s">
        <v>28</v>
      </c>
      <c r="C10" s="3" t="s">
        <v>30</v>
      </c>
      <c r="D10" s="3" t="s">
        <v>29</v>
      </c>
      <c r="E10" s="3" t="s">
        <v>31</v>
      </c>
      <c r="G10" s="3" t="s">
        <v>41</v>
      </c>
      <c r="H10" s="3" t="s">
        <v>42</v>
      </c>
      <c r="I10" s="3" t="s">
        <v>44</v>
      </c>
      <c r="J10" s="3" t="s">
        <v>43</v>
      </c>
      <c r="K10" s="3" t="s">
        <v>39</v>
      </c>
      <c r="L10" s="3" t="s">
        <v>59</v>
      </c>
      <c r="N10" s="26" t="s">
        <v>73</v>
      </c>
      <c r="O10" s="4"/>
      <c r="P10" s="4"/>
      <c r="Q10" s="4"/>
    </row>
    <row r="11" spans="1:11" ht="12.75">
      <c r="A11" s="1"/>
      <c r="K11" s="5"/>
    </row>
    <row r="12" spans="1:17" ht="12.75">
      <c r="A12" s="1">
        <v>1</v>
      </c>
      <c r="B12" s="7">
        <v>682.397022883418</v>
      </c>
      <c r="C12" s="7">
        <v>1245.6374211487982</v>
      </c>
      <c r="D12" s="7">
        <v>1013.2075108121138</v>
      </c>
      <c r="E12" s="7">
        <f aca="true" t="shared" si="0" ref="E12:E19">B12+C12+D12</f>
        <v>2941.24195484433</v>
      </c>
      <c r="F12" s="7"/>
      <c r="G12" s="7">
        <f>B12-B$38</f>
        <v>-317.602977116582</v>
      </c>
      <c r="H12" s="7">
        <f aca="true" t="shared" si="1" ref="H12:H19">C12-C$38</f>
        <v>-254.36257885120176</v>
      </c>
      <c r="I12" s="7">
        <f aca="true" t="shared" si="2" ref="I12:J19">D12-D$38</f>
        <v>-486.7924891878862</v>
      </c>
      <c r="J12" s="7">
        <f t="shared" si="2"/>
        <v>-1058.75804515567</v>
      </c>
      <c r="K12" s="16">
        <f aca="true" t="shared" si="3" ref="K12:K31">MIN(MAX(J12,0),Surplus)</f>
        <v>0</v>
      </c>
      <c r="L12" s="19">
        <f aca="true" t="shared" si="4" ref="L12:L19">IF(K12&gt;0,K12/J12,0)</f>
        <v>0</v>
      </c>
      <c r="N12" s="7">
        <f aca="true" t="shared" si="5" ref="N12:N19">G12*$L12</f>
        <v>0</v>
      </c>
      <c r="O12" s="7">
        <f aca="true" t="shared" si="6" ref="O12:O19">H12*$L12</f>
        <v>0</v>
      </c>
      <c r="P12" s="7">
        <f aca="true" t="shared" si="7" ref="P12:P19">I12*$L12</f>
        <v>0</v>
      </c>
      <c r="Q12" s="7">
        <f aca="true" t="shared" si="8" ref="Q12:Q19">N12+O12+P12</f>
        <v>0</v>
      </c>
    </row>
    <row r="13" spans="1:17" ht="12.75">
      <c r="A13" s="1">
        <f>A12+1</f>
        <v>2</v>
      </c>
      <c r="B13" s="7">
        <v>435.42326966328187</v>
      </c>
      <c r="C13" s="7">
        <v>1554.6169869224727</v>
      </c>
      <c r="D13" s="7">
        <v>1641.090528429894</v>
      </c>
      <c r="E13" s="7">
        <f t="shared" si="0"/>
        <v>3631.1307850156486</v>
      </c>
      <c r="F13" s="7"/>
      <c r="G13" s="7">
        <f aca="true" t="shared" si="9" ref="G13:G19">B13-B$38</f>
        <v>-564.5767303367181</v>
      </c>
      <c r="H13" s="7">
        <f t="shared" si="1"/>
        <v>54.616986922472734</v>
      </c>
      <c r="I13" s="7">
        <f t="shared" si="2"/>
        <v>141.090528429894</v>
      </c>
      <c r="J13" s="7">
        <f t="shared" si="2"/>
        <v>-368.8692149843514</v>
      </c>
      <c r="K13" s="16">
        <f t="shared" si="3"/>
        <v>0</v>
      </c>
      <c r="L13" s="19">
        <f t="shared" si="4"/>
        <v>0</v>
      </c>
      <c r="N13" s="7">
        <f t="shared" si="5"/>
        <v>0</v>
      </c>
      <c r="O13" s="7">
        <f t="shared" si="6"/>
        <v>0</v>
      </c>
      <c r="P13" s="7">
        <f t="shared" si="7"/>
        <v>0</v>
      </c>
      <c r="Q13" s="7">
        <f t="shared" si="8"/>
        <v>0</v>
      </c>
    </row>
    <row r="14" spans="1:17" ht="12.75">
      <c r="A14" s="1">
        <f aca="true" t="shared" si="10" ref="A14:A19">A13+1</f>
        <v>3</v>
      </c>
      <c r="B14" s="7">
        <v>415.4988379402357</v>
      </c>
      <c r="C14" s="7">
        <v>2839.9919374334127</v>
      </c>
      <c r="D14" s="7">
        <v>642.7375237568856</v>
      </c>
      <c r="E14" s="7">
        <f t="shared" si="0"/>
        <v>3898.2282991305337</v>
      </c>
      <c r="F14" s="7"/>
      <c r="G14" s="7">
        <f t="shared" si="9"/>
        <v>-584.5011620597643</v>
      </c>
      <c r="H14" s="7">
        <f t="shared" si="1"/>
        <v>1339.9919374334127</v>
      </c>
      <c r="I14" s="7">
        <f t="shared" si="2"/>
        <v>-857.2624762431144</v>
      </c>
      <c r="J14" s="7">
        <f t="shared" si="2"/>
        <v>-101.77170086946626</v>
      </c>
      <c r="K14" s="16">
        <f t="shared" si="3"/>
        <v>0</v>
      </c>
      <c r="L14" s="19">
        <f t="shared" si="4"/>
        <v>0</v>
      </c>
      <c r="N14" s="7">
        <f t="shared" si="5"/>
        <v>0</v>
      </c>
      <c r="O14" s="7">
        <f t="shared" si="6"/>
        <v>0</v>
      </c>
      <c r="P14" s="7">
        <f t="shared" si="7"/>
        <v>0</v>
      </c>
      <c r="Q14" s="7">
        <f t="shared" si="8"/>
        <v>0</v>
      </c>
    </row>
    <row r="15" spans="1:17" ht="12.75">
      <c r="A15" s="1">
        <f t="shared" si="10"/>
        <v>4</v>
      </c>
      <c r="B15" s="7">
        <v>1624.1548869790226</v>
      </c>
      <c r="C15" s="7">
        <v>812.9729796887601</v>
      </c>
      <c r="D15" s="7">
        <v>1236.9041576450052</v>
      </c>
      <c r="E15" s="7">
        <f t="shared" si="0"/>
        <v>3674.032024312788</v>
      </c>
      <c r="F15" s="7"/>
      <c r="G15" s="7">
        <f t="shared" si="9"/>
        <v>624.1548869790226</v>
      </c>
      <c r="H15" s="7">
        <f t="shared" si="1"/>
        <v>-687.0270203112399</v>
      </c>
      <c r="I15" s="7">
        <f t="shared" si="2"/>
        <v>-263.09584235499483</v>
      </c>
      <c r="J15" s="7">
        <f t="shared" si="2"/>
        <v>-325.96797568721195</v>
      </c>
      <c r="K15" s="16">
        <f t="shared" si="3"/>
        <v>0</v>
      </c>
      <c r="L15" s="19">
        <f t="shared" si="4"/>
        <v>0</v>
      </c>
      <c r="N15" s="7">
        <f t="shared" si="5"/>
        <v>0</v>
      </c>
      <c r="O15" s="7">
        <f t="shared" si="6"/>
        <v>0</v>
      </c>
      <c r="P15" s="7">
        <f t="shared" si="7"/>
        <v>0</v>
      </c>
      <c r="Q15" s="7">
        <f t="shared" si="8"/>
        <v>0</v>
      </c>
    </row>
    <row r="16" spans="1:17" ht="12.75">
      <c r="A16" s="1">
        <f t="shared" si="10"/>
        <v>5</v>
      </c>
      <c r="B16" s="7">
        <v>443.3374058493868</v>
      </c>
      <c r="C16" s="7">
        <v>568.7336629147039</v>
      </c>
      <c r="D16" s="7">
        <v>1125.1973144286883</v>
      </c>
      <c r="E16" s="7">
        <f t="shared" si="0"/>
        <v>2137.268383192779</v>
      </c>
      <c r="F16" s="7"/>
      <c r="G16" s="7">
        <f t="shared" si="9"/>
        <v>-556.6625941506131</v>
      </c>
      <c r="H16" s="7">
        <f t="shared" si="1"/>
        <v>-931.2663370852961</v>
      </c>
      <c r="I16" s="7">
        <f t="shared" si="2"/>
        <v>-374.8026855713117</v>
      </c>
      <c r="J16" s="7">
        <f t="shared" si="2"/>
        <v>-1862.7316168072211</v>
      </c>
      <c r="K16" s="16">
        <f t="shared" si="3"/>
        <v>0</v>
      </c>
      <c r="L16" s="19">
        <f t="shared" si="4"/>
        <v>0</v>
      </c>
      <c r="N16" s="7">
        <f t="shared" si="5"/>
        <v>0</v>
      </c>
      <c r="O16" s="7">
        <f t="shared" si="6"/>
        <v>0</v>
      </c>
      <c r="P16" s="7">
        <f t="shared" si="7"/>
        <v>0</v>
      </c>
      <c r="Q16" s="7">
        <f t="shared" si="8"/>
        <v>0</v>
      </c>
    </row>
    <row r="17" spans="1:17" ht="12.75">
      <c r="A17" s="1">
        <f t="shared" si="10"/>
        <v>6</v>
      </c>
      <c r="B17" s="7">
        <v>2174.374836286668</v>
      </c>
      <c r="C17" s="7">
        <v>1033.0712104549873</v>
      </c>
      <c r="D17" s="7">
        <v>1760.017955269638</v>
      </c>
      <c r="E17" s="7">
        <f t="shared" si="0"/>
        <v>4967.464002011294</v>
      </c>
      <c r="F17" s="7"/>
      <c r="G17" s="7">
        <f t="shared" si="9"/>
        <v>1174.3748362866681</v>
      </c>
      <c r="H17" s="7">
        <f t="shared" si="1"/>
        <v>-466.9287895450127</v>
      </c>
      <c r="I17" s="7">
        <f t="shared" si="2"/>
        <v>260.0179552696379</v>
      </c>
      <c r="J17" s="7">
        <f t="shared" si="2"/>
        <v>967.4640020112938</v>
      </c>
      <c r="K17" s="16">
        <f t="shared" si="3"/>
        <v>967.4640020112938</v>
      </c>
      <c r="L17" s="19">
        <f t="shared" si="4"/>
        <v>1</v>
      </c>
      <c r="N17" s="7">
        <f t="shared" si="5"/>
        <v>1174.3748362866681</v>
      </c>
      <c r="O17" s="7">
        <f t="shared" si="6"/>
        <v>-466.9287895450127</v>
      </c>
      <c r="P17" s="7">
        <f t="shared" si="7"/>
        <v>260.0179552696379</v>
      </c>
      <c r="Q17" s="7">
        <f t="shared" si="8"/>
        <v>967.4640020112934</v>
      </c>
    </row>
    <row r="18" spans="1:17" ht="12.75">
      <c r="A18" s="1">
        <f t="shared" si="10"/>
        <v>7</v>
      </c>
      <c r="B18" s="7">
        <v>841.2372223312532</v>
      </c>
      <c r="C18" s="7">
        <v>952.7129338505592</v>
      </c>
      <c r="D18" s="7">
        <v>1168.784685677776</v>
      </c>
      <c r="E18" s="7">
        <f t="shared" si="0"/>
        <v>2962.7348418595884</v>
      </c>
      <c r="F18" s="7"/>
      <c r="G18" s="7">
        <f t="shared" si="9"/>
        <v>-158.76277766874682</v>
      </c>
      <c r="H18" s="7">
        <f t="shared" si="1"/>
        <v>-547.2870661494408</v>
      </c>
      <c r="I18" s="7">
        <f t="shared" si="2"/>
        <v>-331.215314322224</v>
      </c>
      <c r="J18" s="7">
        <f t="shared" si="2"/>
        <v>-1037.2651581404116</v>
      </c>
      <c r="K18" s="16">
        <f t="shared" si="3"/>
        <v>0</v>
      </c>
      <c r="L18" s="19">
        <f t="shared" si="4"/>
        <v>0</v>
      </c>
      <c r="N18" s="7">
        <f t="shared" si="5"/>
        <v>0</v>
      </c>
      <c r="O18" s="7">
        <f t="shared" si="6"/>
        <v>0</v>
      </c>
      <c r="P18" s="7">
        <f t="shared" si="7"/>
        <v>0</v>
      </c>
      <c r="Q18" s="7">
        <f t="shared" si="8"/>
        <v>0</v>
      </c>
    </row>
    <row r="19" spans="1:17" ht="12.75">
      <c r="A19" s="1">
        <f t="shared" si="10"/>
        <v>8</v>
      </c>
      <c r="B19" s="7">
        <v>994.0131584506133</v>
      </c>
      <c r="C19" s="7">
        <v>1923.7855636489523</v>
      </c>
      <c r="D19" s="7">
        <v>1191.1314301427437</v>
      </c>
      <c r="E19" s="7">
        <f t="shared" si="0"/>
        <v>4108.930152242309</v>
      </c>
      <c r="F19" s="7"/>
      <c r="G19" s="7">
        <f t="shared" si="9"/>
        <v>-5.986841549386668</v>
      </c>
      <c r="H19" s="7">
        <f t="shared" si="1"/>
        <v>423.78556364895235</v>
      </c>
      <c r="I19" s="7">
        <f t="shared" si="2"/>
        <v>-308.86856985725626</v>
      </c>
      <c r="J19" s="7">
        <f t="shared" si="2"/>
        <v>108.9301522423093</v>
      </c>
      <c r="K19" s="16">
        <f t="shared" si="3"/>
        <v>108.9301522423093</v>
      </c>
      <c r="L19" s="19">
        <f t="shared" si="4"/>
        <v>1</v>
      </c>
      <c r="N19" s="7">
        <f t="shared" si="5"/>
        <v>-5.986841549386668</v>
      </c>
      <c r="O19" s="7">
        <f t="shared" si="6"/>
        <v>423.78556364895235</v>
      </c>
      <c r="P19" s="7">
        <f t="shared" si="7"/>
        <v>-308.86856985725626</v>
      </c>
      <c r="Q19" s="7">
        <f t="shared" si="8"/>
        <v>108.93015224230942</v>
      </c>
    </row>
    <row r="20" spans="1:17" ht="12.75">
      <c r="A20" s="1">
        <f>A19+1</f>
        <v>9</v>
      </c>
      <c r="B20" s="7">
        <v>705.1109328100364</v>
      </c>
      <c r="C20" s="7">
        <v>1005.72209402636</v>
      </c>
      <c r="D20" s="7">
        <v>2003.2690146836535</v>
      </c>
      <c r="E20" s="7">
        <f>B20+C20+D20</f>
        <v>3714.10204152005</v>
      </c>
      <c r="F20" s="7"/>
      <c r="G20" s="7">
        <f aca="true" t="shared" si="11" ref="G20:J21">B20-B$38</f>
        <v>-294.8890671899636</v>
      </c>
      <c r="H20" s="7">
        <f t="shared" si="11"/>
        <v>-494.27790597364003</v>
      </c>
      <c r="I20" s="7">
        <f t="shared" si="11"/>
        <v>503.2690146836535</v>
      </c>
      <c r="J20" s="7">
        <f t="shared" si="11"/>
        <v>-285.8979584799499</v>
      </c>
      <c r="K20" s="16">
        <f t="shared" si="3"/>
        <v>0</v>
      </c>
      <c r="L20" s="19">
        <f>IF(K20&gt;0,K20/J20,0)</f>
        <v>0</v>
      </c>
      <c r="N20" s="7">
        <f aca="true" t="shared" si="12" ref="N20:P21">G20*$L20</f>
        <v>0</v>
      </c>
      <c r="O20" s="7">
        <f t="shared" si="12"/>
        <v>0</v>
      </c>
      <c r="P20" s="7">
        <f t="shared" si="12"/>
        <v>0</v>
      </c>
      <c r="Q20" s="7">
        <f>N20+O20+P20</f>
        <v>0</v>
      </c>
    </row>
    <row r="21" spans="1:17" ht="12.75">
      <c r="A21" s="1">
        <f>A20+1</f>
        <v>10</v>
      </c>
      <c r="B21" s="7">
        <v>564.039637815724</v>
      </c>
      <c r="C21" s="7">
        <v>1193.6032989730566</v>
      </c>
      <c r="D21" s="7">
        <v>1374.0366473525244</v>
      </c>
      <c r="E21" s="7">
        <f>B21+C21+D21</f>
        <v>3131.679584141305</v>
      </c>
      <c r="F21" s="7"/>
      <c r="G21" s="7">
        <f t="shared" si="11"/>
        <v>-435.96036218427605</v>
      </c>
      <c r="H21" s="7">
        <f t="shared" si="11"/>
        <v>-306.39670102694345</v>
      </c>
      <c r="I21" s="7">
        <f t="shared" si="11"/>
        <v>-125.96335264747563</v>
      </c>
      <c r="J21" s="7">
        <f t="shared" si="11"/>
        <v>-868.320415858695</v>
      </c>
      <c r="K21" s="16">
        <f t="shared" si="3"/>
        <v>0</v>
      </c>
      <c r="L21" s="19">
        <f>IF(K21&gt;0,K21/J21,0)</f>
        <v>0</v>
      </c>
      <c r="N21" s="7">
        <f t="shared" si="12"/>
        <v>0</v>
      </c>
      <c r="O21" s="7">
        <f t="shared" si="12"/>
        <v>0</v>
      </c>
      <c r="P21" s="7">
        <f t="shared" si="12"/>
        <v>0</v>
      </c>
      <c r="Q21" s="7">
        <f>N21+O21+P21</f>
        <v>0</v>
      </c>
    </row>
    <row r="22" spans="1:17" ht="12.75">
      <c r="A22" s="1">
        <f aca="true" t="shared" si="13" ref="A22:A31">A21+1</f>
        <v>11</v>
      </c>
      <c r="B22" s="7">
        <v>524.3831192657561</v>
      </c>
      <c r="C22" s="7">
        <v>857.4427708966646</v>
      </c>
      <c r="D22" s="7">
        <v>2007.2639929281584</v>
      </c>
      <c r="E22" s="7">
        <f aca="true" t="shared" si="14" ref="E22:E31">B22+C22+D22</f>
        <v>3389.089883090579</v>
      </c>
      <c r="F22" s="7"/>
      <c r="G22" s="7">
        <f aca="true" t="shared" si="15" ref="G22:G31">B22-B$38</f>
        <v>-475.61688073424386</v>
      </c>
      <c r="H22" s="7">
        <f aca="true" t="shared" si="16" ref="H22:H31">C22-C$38</f>
        <v>-642.5572291033354</v>
      </c>
      <c r="I22" s="7">
        <f aca="true" t="shared" si="17" ref="I22:I31">D22-D$38</f>
        <v>507.26399292815836</v>
      </c>
      <c r="J22" s="7">
        <f aca="true" t="shared" si="18" ref="J22:J31">E22-E$38</f>
        <v>-610.910116909421</v>
      </c>
      <c r="K22" s="16">
        <f t="shared" si="3"/>
        <v>0</v>
      </c>
      <c r="L22" s="19">
        <f aca="true" t="shared" si="19" ref="L22:L31">IF(K22&gt;0,K22/J22,0)</f>
        <v>0</v>
      </c>
      <c r="N22" s="7">
        <f aca="true" t="shared" si="20" ref="N22:N31">G22*$L22</f>
        <v>0</v>
      </c>
      <c r="O22" s="7">
        <f aca="true" t="shared" si="21" ref="O22:O31">H22*$L22</f>
        <v>0</v>
      </c>
      <c r="P22" s="7">
        <f aca="true" t="shared" si="22" ref="P22:P31">I22*$L22</f>
        <v>0</v>
      </c>
      <c r="Q22" s="7">
        <f aca="true" t="shared" si="23" ref="Q22:Q31">N22+O22+P22</f>
        <v>0</v>
      </c>
    </row>
    <row r="23" spans="1:17" ht="12.75">
      <c r="A23" s="1">
        <f t="shared" si="13"/>
        <v>12</v>
      </c>
      <c r="B23" s="7">
        <v>1087.4172380945704</v>
      </c>
      <c r="C23" s="7">
        <v>1101.0452873853026</v>
      </c>
      <c r="D23" s="7">
        <v>1951.906597253004</v>
      </c>
      <c r="E23" s="7">
        <f t="shared" si="14"/>
        <v>4140.369122732877</v>
      </c>
      <c r="F23" s="7"/>
      <c r="G23" s="7">
        <f t="shared" si="15"/>
        <v>87.4172380945704</v>
      </c>
      <c r="H23" s="7">
        <f t="shared" si="16"/>
        <v>-398.9547126146974</v>
      </c>
      <c r="I23" s="7">
        <f t="shared" si="17"/>
        <v>451.90659725300407</v>
      </c>
      <c r="J23" s="7">
        <f t="shared" si="18"/>
        <v>140.36912273287726</v>
      </c>
      <c r="K23" s="16">
        <f t="shared" si="3"/>
        <v>140.36912273287726</v>
      </c>
      <c r="L23" s="19">
        <f t="shared" si="19"/>
        <v>1</v>
      </c>
      <c r="N23" s="7">
        <f t="shared" si="20"/>
        <v>87.4172380945704</v>
      </c>
      <c r="O23" s="7">
        <f t="shared" si="21"/>
        <v>-398.9547126146974</v>
      </c>
      <c r="P23" s="7">
        <f t="shared" si="22"/>
        <v>451.90659725300407</v>
      </c>
      <c r="Q23" s="7">
        <f t="shared" si="23"/>
        <v>140.36912273287703</v>
      </c>
    </row>
    <row r="24" spans="1:17" ht="12.75">
      <c r="A24" s="1">
        <f t="shared" si="13"/>
        <v>13</v>
      </c>
      <c r="B24" s="7">
        <v>1309.6446018253362</v>
      </c>
      <c r="C24" s="7">
        <v>2461.7300042678185</v>
      </c>
      <c r="D24" s="7">
        <v>3230.7099005043633</v>
      </c>
      <c r="E24" s="7">
        <f t="shared" si="14"/>
        <v>7002.084506597517</v>
      </c>
      <c r="F24" s="7"/>
      <c r="G24" s="7">
        <f t="shared" si="15"/>
        <v>309.64460182533617</v>
      </c>
      <c r="H24" s="7">
        <f t="shared" si="16"/>
        <v>961.7300042678185</v>
      </c>
      <c r="I24" s="7">
        <f t="shared" si="17"/>
        <v>1730.7099005043633</v>
      </c>
      <c r="J24" s="7">
        <f t="shared" si="18"/>
        <v>3002.0845065975172</v>
      </c>
      <c r="K24" s="16">
        <f t="shared" si="3"/>
        <v>2000</v>
      </c>
      <c r="L24" s="19">
        <f t="shared" si="19"/>
        <v>0.6662037646191202</v>
      </c>
      <c r="N24" s="7">
        <f t="shared" si="20"/>
        <v>206.28639943002747</v>
      </c>
      <c r="O24" s="7">
        <f t="shared" si="21"/>
        <v>640.7081493903833</v>
      </c>
      <c r="P24" s="7">
        <f t="shared" si="22"/>
        <v>1153.00545117959</v>
      </c>
      <c r="Q24" s="7">
        <f t="shared" si="23"/>
        <v>2000.0000000000007</v>
      </c>
    </row>
    <row r="25" spans="1:17" ht="12.75">
      <c r="A25" s="1">
        <f t="shared" si="13"/>
        <v>14</v>
      </c>
      <c r="B25" s="7">
        <v>384.48967570890267</v>
      </c>
      <c r="C25" s="7">
        <v>957.6188369725286</v>
      </c>
      <c r="D25" s="7">
        <v>854.2449061575703</v>
      </c>
      <c r="E25" s="7">
        <f t="shared" si="14"/>
        <v>2196.3534188390013</v>
      </c>
      <c r="F25" s="7"/>
      <c r="G25" s="7">
        <f t="shared" si="15"/>
        <v>-615.5103242910973</v>
      </c>
      <c r="H25" s="7">
        <f t="shared" si="16"/>
        <v>-542.3811630274714</v>
      </c>
      <c r="I25" s="7">
        <f t="shared" si="17"/>
        <v>-645.7550938424297</v>
      </c>
      <c r="J25" s="7">
        <f t="shared" si="18"/>
        <v>-1803.6465811609987</v>
      </c>
      <c r="K25" s="16">
        <f t="shared" si="3"/>
        <v>0</v>
      </c>
      <c r="L25" s="19">
        <f t="shared" si="19"/>
        <v>0</v>
      </c>
      <c r="N25" s="7">
        <f t="shared" si="20"/>
        <v>0</v>
      </c>
      <c r="O25" s="7">
        <f t="shared" si="21"/>
        <v>0</v>
      </c>
      <c r="P25" s="7">
        <f t="shared" si="22"/>
        <v>0</v>
      </c>
      <c r="Q25" s="7">
        <f t="shared" si="23"/>
        <v>0</v>
      </c>
    </row>
    <row r="26" spans="1:17" ht="12.75">
      <c r="A26" s="1">
        <f t="shared" si="13"/>
        <v>15</v>
      </c>
      <c r="B26" s="7">
        <v>749.6966084352214</v>
      </c>
      <c r="C26" s="7">
        <v>3652.9047826986694</v>
      </c>
      <c r="D26" s="7">
        <v>1085.951160875827</v>
      </c>
      <c r="E26" s="7">
        <f t="shared" si="14"/>
        <v>5488.552552009718</v>
      </c>
      <c r="F26" s="7"/>
      <c r="G26" s="7">
        <f t="shared" si="15"/>
        <v>-250.30339156477862</v>
      </c>
      <c r="H26" s="7">
        <f t="shared" si="16"/>
        <v>2152.9047826986694</v>
      </c>
      <c r="I26" s="7">
        <f t="shared" si="17"/>
        <v>-414.0488391241729</v>
      </c>
      <c r="J26" s="7">
        <f t="shared" si="18"/>
        <v>1488.552552009718</v>
      </c>
      <c r="K26" s="16">
        <f t="shared" si="3"/>
        <v>1488.552552009718</v>
      </c>
      <c r="L26" s="19">
        <f t="shared" si="19"/>
        <v>1</v>
      </c>
      <c r="N26" s="7">
        <f t="shared" si="20"/>
        <v>-250.30339156477862</v>
      </c>
      <c r="O26" s="7">
        <f t="shared" si="21"/>
        <v>2152.9047826986694</v>
      </c>
      <c r="P26" s="7">
        <f t="shared" si="22"/>
        <v>-414.0488391241729</v>
      </c>
      <c r="Q26" s="7">
        <f t="shared" si="23"/>
        <v>1488.5525520097178</v>
      </c>
    </row>
    <row r="27" spans="1:17" ht="12.75">
      <c r="A27" s="1">
        <f t="shared" si="13"/>
        <v>16</v>
      </c>
      <c r="B27" s="7">
        <v>442.37581570000236</v>
      </c>
      <c r="C27" s="7">
        <v>1883.0659929517128</v>
      </c>
      <c r="D27" s="7">
        <v>1060.34978121644</v>
      </c>
      <c r="E27" s="7">
        <f t="shared" si="14"/>
        <v>3385.7915898681554</v>
      </c>
      <c r="F27" s="7"/>
      <c r="G27" s="7">
        <f t="shared" si="15"/>
        <v>-557.6241842999976</v>
      </c>
      <c r="H27" s="7">
        <f t="shared" si="16"/>
        <v>383.0659929517128</v>
      </c>
      <c r="I27" s="7">
        <f t="shared" si="17"/>
        <v>-439.6502187835599</v>
      </c>
      <c r="J27" s="7">
        <f t="shared" si="18"/>
        <v>-614.2084101318446</v>
      </c>
      <c r="K27" s="16">
        <f t="shared" si="3"/>
        <v>0</v>
      </c>
      <c r="L27" s="19">
        <f t="shared" si="19"/>
        <v>0</v>
      </c>
      <c r="N27" s="7">
        <f t="shared" si="20"/>
        <v>0</v>
      </c>
      <c r="O27" s="7">
        <f t="shared" si="21"/>
        <v>0</v>
      </c>
      <c r="P27" s="7">
        <f t="shared" si="22"/>
        <v>0</v>
      </c>
      <c r="Q27" s="7">
        <f t="shared" si="23"/>
        <v>0</v>
      </c>
    </row>
    <row r="28" spans="1:17" ht="12.75">
      <c r="A28" s="1">
        <f t="shared" si="13"/>
        <v>17</v>
      </c>
      <c r="B28" s="7">
        <v>1619.042452631954</v>
      </c>
      <c r="C28" s="7">
        <v>908.4752786820547</v>
      </c>
      <c r="D28" s="7">
        <v>753.5743734203395</v>
      </c>
      <c r="E28" s="7">
        <f t="shared" si="14"/>
        <v>3281.092104734348</v>
      </c>
      <c r="F28" s="7"/>
      <c r="G28" s="7">
        <f t="shared" si="15"/>
        <v>619.0424526319539</v>
      </c>
      <c r="H28" s="7">
        <f t="shared" si="16"/>
        <v>-591.5247213179453</v>
      </c>
      <c r="I28" s="7">
        <f t="shared" si="17"/>
        <v>-746.4256265796605</v>
      </c>
      <c r="J28" s="7">
        <f t="shared" si="18"/>
        <v>-718.9078952656519</v>
      </c>
      <c r="K28" s="16">
        <f t="shared" si="3"/>
        <v>0</v>
      </c>
      <c r="L28" s="19">
        <f t="shared" si="19"/>
        <v>0</v>
      </c>
      <c r="N28" s="7">
        <f t="shared" si="20"/>
        <v>0</v>
      </c>
      <c r="O28" s="7">
        <f t="shared" si="21"/>
        <v>0</v>
      </c>
      <c r="P28" s="7">
        <f t="shared" si="22"/>
        <v>0</v>
      </c>
      <c r="Q28" s="7">
        <f t="shared" si="23"/>
        <v>0</v>
      </c>
    </row>
    <row r="29" spans="1:17" ht="12.75">
      <c r="A29" s="1">
        <f t="shared" si="13"/>
        <v>18</v>
      </c>
      <c r="B29" s="7">
        <v>581.8734006479381</v>
      </c>
      <c r="C29" s="7">
        <v>1982.0357728566732</v>
      </c>
      <c r="D29" s="7">
        <v>1853.8500747928392</v>
      </c>
      <c r="E29" s="7">
        <f t="shared" si="14"/>
        <v>4417.7592482974505</v>
      </c>
      <c r="F29" s="7"/>
      <c r="G29" s="7">
        <f t="shared" si="15"/>
        <v>-418.12659935206193</v>
      </c>
      <c r="H29" s="7">
        <f t="shared" si="16"/>
        <v>482.03577285667325</v>
      </c>
      <c r="I29" s="7">
        <f t="shared" si="17"/>
        <v>353.8500747928392</v>
      </c>
      <c r="J29" s="7">
        <f t="shared" si="18"/>
        <v>417.75924829745054</v>
      </c>
      <c r="K29" s="16">
        <f t="shared" si="3"/>
        <v>417.75924829745054</v>
      </c>
      <c r="L29" s="19">
        <f t="shared" si="19"/>
        <v>1</v>
      </c>
      <c r="N29" s="7">
        <f t="shared" si="20"/>
        <v>-418.12659935206193</v>
      </c>
      <c r="O29" s="7">
        <f t="shared" si="21"/>
        <v>482.03577285667325</v>
      </c>
      <c r="P29" s="7">
        <f t="shared" si="22"/>
        <v>353.8500747928392</v>
      </c>
      <c r="Q29" s="7">
        <f t="shared" si="23"/>
        <v>417.75924829745054</v>
      </c>
    </row>
    <row r="30" spans="1:17" ht="12.75">
      <c r="A30" s="1">
        <f t="shared" si="13"/>
        <v>19</v>
      </c>
      <c r="B30" s="7">
        <v>1090.6394916619247</v>
      </c>
      <c r="C30" s="7">
        <v>1069.2298104153103</v>
      </c>
      <c r="D30" s="7">
        <v>3850.8967885377515</v>
      </c>
      <c r="E30" s="7">
        <f t="shared" si="14"/>
        <v>6010.766090614987</v>
      </c>
      <c r="F30" s="7"/>
      <c r="G30" s="7">
        <f t="shared" si="15"/>
        <v>90.6394916619247</v>
      </c>
      <c r="H30" s="7">
        <f t="shared" si="16"/>
        <v>-430.77018958468966</v>
      </c>
      <c r="I30" s="7">
        <f t="shared" si="17"/>
        <v>2350.8967885377515</v>
      </c>
      <c r="J30" s="7">
        <f t="shared" si="18"/>
        <v>2010.7660906149868</v>
      </c>
      <c r="K30" s="16">
        <f t="shared" si="3"/>
        <v>2000</v>
      </c>
      <c r="L30" s="19">
        <f t="shared" si="19"/>
        <v>0.9946457767190146</v>
      </c>
      <c r="N30" s="7">
        <f t="shared" si="20"/>
        <v>90.15418758549173</v>
      </c>
      <c r="O30" s="7">
        <f t="shared" si="21"/>
        <v>-428.4637498068608</v>
      </c>
      <c r="P30" s="7">
        <f t="shared" si="22"/>
        <v>2338.3095622213687</v>
      </c>
      <c r="Q30" s="7">
        <f t="shared" si="23"/>
        <v>1999.9999999999995</v>
      </c>
    </row>
    <row r="31" spans="1:17" ht="12.75">
      <c r="A31" s="1">
        <f t="shared" si="13"/>
        <v>20</v>
      </c>
      <c r="B31" s="7">
        <v>1808.2064737352982</v>
      </c>
      <c r="C31" s="7">
        <v>2564.0296437564375</v>
      </c>
      <c r="D31" s="7">
        <v>501.04415647811675</v>
      </c>
      <c r="E31" s="7">
        <f t="shared" si="14"/>
        <v>4873.280273969853</v>
      </c>
      <c r="F31" s="7"/>
      <c r="G31" s="7">
        <f t="shared" si="15"/>
        <v>808.2064737352982</v>
      </c>
      <c r="H31" s="7">
        <f t="shared" si="16"/>
        <v>1064.0296437564375</v>
      </c>
      <c r="I31" s="7">
        <f t="shared" si="17"/>
        <v>-998.9558435218833</v>
      </c>
      <c r="J31" s="7">
        <f t="shared" si="18"/>
        <v>873.2802739698527</v>
      </c>
      <c r="K31" s="16">
        <f t="shared" si="3"/>
        <v>873.2802739698527</v>
      </c>
      <c r="L31" s="19">
        <f t="shared" si="19"/>
        <v>1</v>
      </c>
      <c r="N31" s="7">
        <f t="shared" si="20"/>
        <v>808.2064737352982</v>
      </c>
      <c r="O31" s="7">
        <f t="shared" si="21"/>
        <v>1064.0296437564375</v>
      </c>
      <c r="P31" s="7">
        <f t="shared" si="22"/>
        <v>-998.9558435218833</v>
      </c>
      <c r="Q31" s="7">
        <f t="shared" si="23"/>
        <v>873.2802739698525</v>
      </c>
    </row>
    <row r="32" spans="2:16" ht="12.75">
      <c r="B32" s="7"/>
      <c r="C32" s="7"/>
      <c r="D32" s="7"/>
      <c r="F32" s="7"/>
      <c r="G32" s="7"/>
      <c r="H32" s="7"/>
      <c r="I32" s="7"/>
      <c r="J32" s="7"/>
      <c r="N32" s="7"/>
      <c r="O32" s="7"/>
      <c r="P32" s="7"/>
    </row>
    <row r="33" spans="1:17" ht="12.75">
      <c r="A33" s="1" t="s">
        <v>11</v>
      </c>
      <c r="B33" s="7">
        <f>AVERAGE(B12:B31)</f>
        <v>923.8678044358272</v>
      </c>
      <c r="C33" s="7">
        <f>AVERAGE(C12:C31)</f>
        <v>1528.4213134972615</v>
      </c>
      <c r="D33" s="7">
        <f>AVERAGE(D12:D31)</f>
        <v>1515.3084250181664</v>
      </c>
      <c r="E33" s="7">
        <f>AVERAGE(E12:E31)</f>
        <v>3967.5975429512555</v>
      </c>
      <c r="F33" s="7"/>
      <c r="G33" s="7">
        <f>AVERAGE(G12:G31)</f>
        <v>-76.13219556417279</v>
      </c>
      <c r="H33" s="7">
        <f>AVERAGE(H12:H31)</f>
        <v>28.421313497261757</v>
      </c>
      <c r="I33" s="7">
        <f>AVERAGE(I12:I31)</f>
        <v>15.308425018166622</v>
      </c>
      <c r="J33" s="7">
        <f>AVERAGE(J12:J31)</f>
        <v>-32.402457048744395</v>
      </c>
      <c r="K33" s="16">
        <f>AVERAGE(K12:K31)</f>
        <v>399.8177675631751</v>
      </c>
      <c r="L33" s="2"/>
      <c r="N33" s="7">
        <f>AVERAGE(N12:N31)</f>
        <v>84.60111513329146</v>
      </c>
      <c r="O33" s="7">
        <f>AVERAGE(O12:O31)</f>
        <v>173.4558330192272</v>
      </c>
      <c r="P33" s="7">
        <f>AVERAGE(P12:P31)</f>
        <v>141.76081941065635</v>
      </c>
      <c r="Q33" s="16">
        <f>N33+O33+P33</f>
        <v>399.81776756317504</v>
      </c>
    </row>
    <row r="34" spans="7:9" ht="12.75">
      <c r="G34" s="7"/>
      <c r="H34" s="7"/>
      <c r="I34" s="7"/>
    </row>
    <row r="35" spans="2:11" ht="12.75">
      <c r="B35" s="7"/>
      <c r="C35" s="7"/>
      <c r="D35" s="7"/>
      <c r="F35" s="7"/>
      <c r="G35" s="7"/>
      <c r="H35" s="7"/>
      <c r="I35" s="7"/>
      <c r="J35" s="7"/>
      <c r="K35" t="str">
        <f>"*  r(x) = MIN[MAX(X-μ,0), "&amp;TEXT(Surplus,"###,###")&amp;"]"</f>
        <v>*  r(x) = MIN[MAX(X-μ,0), 2,000]</v>
      </c>
    </row>
    <row r="36" spans="1:11" ht="12.75">
      <c r="A36" t="s">
        <v>15</v>
      </c>
      <c r="B36" s="8">
        <v>1250</v>
      </c>
      <c r="C36" s="8">
        <v>1875</v>
      </c>
      <c r="D36" s="8">
        <v>2150</v>
      </c>
      <c r="E36" s="7">
        <f>B36+C36+D36</f>
        <v>5275</v>
      </c>
      <c r="F36" s="7"/>
      <c r="G36" s="7"/>
      <c r="J36" s="7"/>
      <c r="K36" t="str">
        <f>"** "&amp;L10&amp;" = "&amp;K10&amp;"/["&amp;J10&amp;"]"</f>
        <v>** L(x) = r(x)/[X-μ]</v>
      </c>
    </row>
    <row r="37" spans="1:7" ht="12.75">
      <c r="A37" t="s">
        <v>25</v>
      </c>
      <c r="B37" s="2">
        <f>B38/B36</f>
        <v>0.8</v>
      </c>
      <c r="C37" s="2">
        <f>C38/C36</f>
        <v>0.8</v>
      </c>
      <c r="D37" s="2">
        <f>D38/D36</f>
        <v>0.6976744186046512</v>
      </c>
      <c r="E37" s="2">
        <f>E38/E36</f>
        <v>0.7582938388625592</v>
      </c>
      <c r="F37" s="7"/>
      <c r="G37" s="7"/>
    </row>
    <row r="38" spans="1:10" ht="15.75">
      <c r="A38" t="s">
        <v>76</v>
      </c>
      <c r="B38" s="8">
        <v>1000</v>
      </c>
      <c r="C38" s="8">
        <v>1500</v>
      </c>
      <c r="D38" s="8">
        <v>1500</v>
      </c>
      <c r="E38" s="7">
        <f>B38+C38+D38</f>
        <v>4000</v>
      </c>
      <c r="F38" s="8"/>
      <c r="I38" s="3" t="s">
        <v>47</v>
      </c>
      <c r="J38" s="8">
        <v>2000</v>
      </c>
    </row>
    <row r="39" spans="1:10" ht="12.75">
      <c r="A39" t="s">
        <v>7</v>
      </c>
      <c r="B39" s="7">
        <f>B38*B40</f>
        <v>500</v>
      </c>
      <c r="C39" s="7">
        <f>C38*C40</f>
        <v>750</v>
      </c>
      <c r="D39" s="7">
        <f>D38*D40</f>
        <v>1500</v>
      </c>
      <c r="E39" s="7"/>
      <c r="F39" s="7"/>
      <c r="G39" s="7"/>
      <c r="H39" s="7"/>
      <c r="I39" s="7"/>
      <c r="J39" s="7"/>
    </row>
    <row r="40" spans="1:10" ht="12.75">
      <c r="A40" t="s">
        <v>10</v>
      </c>
      <c r="B40" s="9">
        <v>0.5</v>
      </c>
      <c r="C40" s="9">
        <v>0.5</v>
      </c>
      <c r="D40" s="9">
        <v>1</v>
      </c>
      <c r="E40" s="9"/>
      <c r="F40" s="9"/>
      <c r="G40" s="9"/>
      <c r="H40" s="9"/>
      <c r="I40" s="9"/>
      <c r="J40" s="9"/>
    </row>
    <row r="42" spans="1:10" ht="12.75">
      <c r="A42" t="s">
        <v>8</v>
      </c>
      <c r="B42" s="10">
        <f>LN(B38)-B43^2/2</f>
        <v>6.7961835033250315</v>
      </c>
      <c r="C42" s="10">
        <f>LN(C38)-C43^2/2</f>
        <v>7.201648611433196</v>
      </c>
      <c r="D42" s="10">
        <f>LN(D38)-D43^2/2</f>
        <v>6.966646796810329</v>
      </c>
      <c r="E42" s="10"/>
      <c r="F42" s="10"/>
      <c r="G42" s="10"/>
      <c r="H42" s="10"/>
      <c r="I42" s="10"/>
      <c r="J42" s="10"/>
    </row>
    <row r="43" spans="1:10" ht="12.75">
      <c r="A43" t="s">
        <v>9</v>
      </c>
      <c r="B43" s="10">
        <f>LN(B40^2+1)^0.5</f>
        <v>0.47238072707743883</v>
      </c>
      <c r="C43" s="10">
        <f>LN(C40^2+1)^0.5</f>
        <v>0.47238072707743883</v>
      </c>
      <c r="D43" s="10">
        <f>LN(D40^2+1)^0.5</f>
        <v>0.8325546111576977</v>
      </c>
      <c r="E43" s="10"/>
      <c r="F43" s="10"/>
      <c r="G43" s="10"/>
      <c r="H43" s="10"/>
      <c r="I43" s="10"/>
      <c r="J43" s="10"/>
    </row>
  </sheetData>
  <printOptions/>
  <pageMargins left="0.5" right="0.5" top="0.75" bottom="0.75" header="0.25" footer="0.25"/>
  <pageSetup fitToHeight="1" fitToWidth="1" horizontalDpi="600" verticalDpi="600" orientation="landscape" scale="82" r:id="rId1"/>
  <ignoredErrors>
    <ignoredError sqref="E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1">
      <selection activeCell="D3" sqref="D3"/>
    </sheetView>
  </sheetViews>
  <sheetFormatPr defaultColWidth="9.140625" defaultRowHeight="12.75"/>
  <cols>
    <col min="1" max="5" width="10.7109375" style="0" customWidth="1"/>
    <col min="6" max="6" width="1.7109375" style="0" customWidth="1"/>
    <col min="7" max="10" width="10.7109375" style="0" customWidth="1"/>
    <col min="11" max="12" width="9.7109375" style="0" customWidth="1"/>
    <col min="13" max="13" width="1.7109375" style="0" customWidth="1"/>
    <col min="14" max="17" width="9.7109375" style="0" customWidth="1"/>
  </cols>
  <sheetData>
    <row r="1" spans="2:4" ht="15.75">
      <c r="B1" s="6" t="s">
        <v>63</v>
      </c>
      <c r="D1" s="6" t="s">
        <v>58</v>
      </c>
    </row>
    <row r="5" spans="2:16" ht="12.75">
      <c r="B5" s="23" t="s">
        <v>12</v>
      </c>
      <c r="C5" s="23"/>
      <c r="D5" s="23"/>
      <c r="E5" s="23"/>
      <c r="G5" s="11" t="s">
        <v>54</v>
      </c>
      <c r="H5" s="11"/>
      <c r="I5" s="11"/>
      <c r="J5" s="11"/>
      <c r="N5" s="11" t="s">
        <v>56</v>
      </c>
      <c r="O5" s="11"/>
      <c r="P5" s="11"/>
    </row>
    <row r="6" spans="2:16" ht="12.75">
      <c r="B6" s="22" t="s">
        <v>33</v>
      </c>
      <c r="C6" s="11"/>
      <c r="D6" s="11"/>
      <c r="E6" s="4"/>
      <c r="K6" s="17" t="s">
        <v>5</v>
      </c>
      <c r="L6" s="3" t="s">
        <v>45</v>
      </c>
      <c r="N6" s="11"/>
      <c r="O6" s="11"/>
      <c r="P6" s="11"/>
    </row>
    <row r="7" spans="11:12" ht="12.75">
      <c r="K7" s="17" t="s">
        <v>87</v>
      </c>
      <c r="L7" s="3" t="s">
        <v>46</v>
      </c>
    </row>
    <row r="8" spans="1:17" ht="12.75">
      <c r="A8" s="14" t="s">
        <v>0</v>
      </c>
      <c r="B8" s="13" t="s">
        <v>2</v>
      </c>
      <c r="C8" s="13" t="s">
        <v>3</v>
      </c>
      <c r="D8" s="13" t="s">
        <v>4</v>
      </c>
      <c r="E8" s="13" t="s">
        <v>1</v>
      </c>
      <c r="F8" s="13"/>
      <c r="G8" s="13" t="s">
        <v>2</v>
      </c>
      <c r="H8" s="13" t="s">
        <v>3</v>
      </c>
      <c r="I8" s="13" t="s">
        <v>4</v>
      </c>
      <c r="J8" s="13" t="s">
        <v>1</v>
      </c>
      <c r="K8" s="18" t="s">
        <v>86</v>
      </c>
      <c r="L8" s="13" t="s">
        <v>84</v>
      </c>
      <c r="M8" s="15"/>
      <c r="N8" s="13" t="s">
        <v>2</v>
      </c>
      <c r="O8" s="13" t="s">
        <v>3</v>
      </c>
      <c r="P8" s="13" t="s">
        <v>4</v>
      </c>
      <c r="Q8" s="13" t="s">
        <v>1</v>
      </c>
    </row>
    <row r="9" spans="1:11" ht="12.75">
      <c r="A9" s="1"/>
      <c r="K9" s="5"/>
    </row>
    <row r="10" spans="1:17" ht="15.75">
      <c r="A10" s="1" t="s">
        <v>32</v>
      </c>
      <c r="B10" s="3" t="s">
        <v>28</v>
      </c>
      <c r="C10" s="3" t="s">
        <v>30</v>
      </c>
      <c r="D10" s="3" t="s">
        <v>29</v>
      </c>
      <c r="E10" s="3" t="s">
        <v>31</v>
      </c>
      <c r="G10" s="3" t="s">
        <v>41</v>
      </c>
      <c r="H10" s="3" t="s">
        <v>42</v>
      </c>
      <c r="I10" s="3" t="s">
        <v>44</v>
      </c>
      <c r="J10" s="3" t="s">
        <v>43</v>
      </c>
      <c r="K10" s="3" t="s">
        <v>39</v>
      </c>
      <c r="L10" s="3" t="s">
        <v>59</v>
      </c>
      <c r="N10" s="26" t="s">
        <v>73</v>
      </c>
      <c r="O10" s="4"/>
      <c r="P10" s="4"/>
      <c r="Q10" s="4"/>
    </row>
    <row r="11" spans="1:11" ht="12.75">
      <c r="A11" s="1"/>
      <c r="K11" s="5"/>
    </row>
    <row r="12" spans="1:17" ht="12.75">
      <c r="A12" s="1">
        <v>1</v>
      </c>
      <c r="B12" s="27">
        <f>'3a Capital Consumption'!B12</f>
        <v>682.397022883418</v>
      </c>
      <c r="C12" s="27">
        <f>'3a Capital Consumption'!C12</f>
        <v>1245.6374211487982</v>
      </c>
      <c r="D12" s="27">
        <f>'3a Capital Consumption'!D12</f>
        <v>1013.2075108121138</v>
      </c>
      <c r="E12" s="7">
        <f aca="true" t="shared" si="0" ref="E12:E19">B12+C12+D12</f>
        <v>2941.24195484433</v>
      </c>
      <c r="F12" s="7"/>
      <c r="G12" s="7">
        <f aca="true" t="shared" si="1" ref="G12:G21">B12-B$38</f>
        <v>-317.602977116582</v>
      </c>
      <c r="H12" s="7">
        <f aca="true" t="shared" si="2" ref="H12:H21">C12-C$38</f>
        <v>-254.36257885120176</v>
      </c>
      <c r="I12" s="7">
        <f aca="true" t="shared" si="3" ref="I12:I21">D12-D$38</f>
        <v>-486.7924891878862</v>
      </c>
      <c r="J12" s="7">
        <f aca="true" t="shared" si="4" ref="J12:J21">E12-E$38</f>
        <v>-1058.75804515567</v>
      </c>
      <c r="K12" s="16">
        <f aca="true" t="shared" si="5" ref="K12:K31">Risk_to_Variance*J12^2</f>
        <v>112096.85981818559</v>
      </c>
      <c r="L12" s="25">
        <f>K12/J12</f>
        <v>-105.87580451556701</v>
      </c>
      <c r="N12" s="7">
        <f aca="true" t="shared" si="6" ref="N12:N19">G12*$L12</f>
        <v>33626.47071875734</v>
      </c>
      <c r="O12" s="7">
        <f aca="true" t="shared" si="7" ref="O12:O19">H12*$L12</f>
        <v>26930.84267452534</v>
      </c>
      <c r="P12" s="7">
        <f aca="true" t="shared" si="8" ref="P12:P19">I12*$L12</f>
        <v>51539.5464249029</v>
      </c>
      <c r="Q12" s="7">
        <f aca="true" t="shared" si="9" ref="Q12:Q19">N12+O12+P12</f>
        <v>112096.85981818558</v>
      </c>
    </row>
    <row r="13" spans="1:17" ht="12.75">
      <c r="A13" s="1">
        <f aca="true" t="shared" si="10" ref="A13:A19">A12+1</f>
        <v>2</v>
      </c>
      <c r="B13" s="27">
        <f>'3a Capital Consumption'!B13</f>
        <v>435.42326966328187</v>
      </c>
      <c r="C13" s="27">
        <f>'3a Capital Consumption'!C13</f>
        <v>1554.6169869224727</v>
      </c>
      <c r="D13" s="27">
        <f>'3a Capital Consumption'!D13</f>
        <v>1641.090528429894</v>
      </c>
      <c r="E13" s="7">
        <f t="shared" si="0"/>
        <v>3631.1307850156486</v>
      </c>
      <c r="F13" s="7"/>
      <c r="G13" s="7">
        <f t="shared" si="1"/>
        <v>-564.5767303367181</v>
      </c>
      <c r="H13" s="7">
        <f t="shared" si="2"/>
        <v>54.616986922472734</v>
      </c>
      <c r="I13" s="7">
        <f t="shared" si="3"/>
        <v>141.090528429894</v>
      </c>
      <c r="J13" s="7">
        <f t="shared" si="4"/>
        <v>-368.8692149843514</v>
      </c>
      <c r="K13" s="16">
        <f t="shared" si="5"/>
        <v>13606.449776317166</v>
      </c>
      <c r="L13" s="25">
        <f aca="true" t="shared" si="11" ref="L13:L19">K13/J13</f>
        <v>-36.88692149843514</v>
      </c>
      <c r="N13" s="7">
        <f t="shared" si="6"/>
        <v>20825.497531773708</v>
      </c>
      <c r="O13" s="7">
        <f t="shared" si="7"/>
        <v>-2014.6525090903106</v>
      </c>
      <c r="P13" s="7">
        <f t="shared" si="8"/>
        <v>-5204.395246366232</v>
      </c>
      <c r="Q13" s="7">
        <f t="shared" si="9"/>
        <v>13606.449776317164</v>
      </c>
    </row>
    <row r="14" spans="1:17" ht="12.75">
      <c r="A14" s="1">
        <f t="shared" si="10"/>
        <v>3</v>
      </c>
      <c r="B14" s="27">
        <f>'3a Capital Consumption'!B14</f>
        <v>415.4988379402357</v>
      </c>
      <c r="C14" s="27">
        <f>'3a Capital Consumption'!C14</f>
        <v>2839.9919374334127</v>
      </c>
      <c r="D14" s="27">
        <f>'3a Capital Consumption'!D14</f>
        <v>642.7375237568856</v>
      </c>
      <c r="E14" s="7">
        <f t="shared" si="0"/>
        <v>3898.2282991305337</v>
      </c>
      <c r="F14" s="7"/>
      <c r="G14" s="7">
        <f t="shared" si="1"/>
        <v>-584.5011620597643</v>
      </c>
      <c r="H14" s="7">
        <f t="shared" si="2"/>
        <v>1339.9919374334127</v>
      </c>
      <c r="I14" s="7">
        <f t="shared" si="3"/>
        <v>-857.2624762431144</v>
      </c>
      <c r="J14" s="7">
        <f t="shared" si="4"/>
        <v>-101.77170086946626</v>
      </c>
      <c r="K14" s="16">
        <f t="shared" si="5"/>
        <v>1035.747909786412</v>
      </c>
      <c r="L14" s="25">
        <f t="shared" si="11"/>
        <v>-10.177170086946626</v>
      </c>
      <c r="N14" s="7">
        <f t="shared" si="6"/>
        <v>5948.567742300175</v>
      </c>
      <c r="O14" s="7">
        <f t="shared" si="7"/>
        <v>-13637.325862396983</v>
      </c>
      <c r="P14" s="7">
        <f t="shared" si="8"/>
        <v>8724.506029883216</v>
      </c>
      <c r="Q14" s="7">
        <f t="shared" si="9"/>
        <v>1035.747909786408</v>
      </c>
    </row>
    <row r="15" spans="1:17" ht="12.75">
      <c r="A15" s="1">
        <f t="shared" si="10"/>
        <v>4</v>
      </c>
      <c r="B15" s="27">
        <f>'3a Capital Consumption'!B15</f>
        <v>1624.1548869790226</v>
      </c>
      <c r="C15" s="27">
        <f>'3a Capital Consumption'!C15</f>
        <v>812.9729796887601</v>
      </c>
      <c r="D15" s="27">
        <f>'3a Capital Consumption'!D15</f>
        <v>1236.9041576450052</v>
      </c>
      <c r="E15" s="7">
        <f t="shared" si="0"/>
        <v>3674.032024312788</v>
      </c>
      <c r="F15" s="7"/>
      <c r="G15" s="7">
        <f t="shared" si="1"/>
        <v>624.1548869790226</v>
      </c>
      <c r="H15" s="7">
        <f t="shared" si="2"/>
        <v>-687.0270203112399</v>
      </c>
      <c r="I15" s="7">
        <f t="shared" si="3"/>
        <v>-263.09584235499483</v>
      </c>
      <c r="J15" s="7">
        <f t="shared" si="4"/>
        <v>-325.96797568721195</v>
      </c>
      <c r="K15" s="16">
        <f t="shared" si="5"/>
        <v>10625.51211736188</v>
      </c>
      <c r="L15" s="25">
        <f t="shared" si="11"/>
        <v>-32.5967975687212</v>
      </c>
      <c r="N15" s="7">
        <f t="shared" si="6"/>
        <v>-20345.45050238326</v>
      </c>
      <c r="O15" s="7">
        <f t="shared" si="7"/>
        <v>22394.880705327196</v>
      </c>
      <c r="P15" s="7">
        <f t="shared" si="8"/>
        <v>8576.081914417951</v>
      </c>
      <c r="Q15" s="7">
        <f t="shared" si="9"/>
        <v>10625.512117361886</v>
      </c>
    </row>
    <row r="16" spans="1:17" ht="12.75">
      <c r="A16" s="1">
        <f t="shared" si="10"/>
        <v>5</v>
      </c>
      <c r="B16" s="27">
        <f>'3a Capital Consumption'!B16</f>
        <v>443.3374058493868</v>
      </c>
      <c r="C16" s="27">
        <f>'3a Capital Consumption'!C16</f>
        <v>568.7336629147039</v>
      </c>
      <c r="D16" s="27">
        <f>'3a Capital Consumption'!D16</f>
        <v>1125.1973144286883</v>
      </c>
      <c r="E16" s="7">
        <f t="shared" si="0"/>
        <v>2137.268383192779</v>
      </c>
      <c r="F16" s="7"/>
      <c r="G16" s="7">
        <f t="shared" si="1"/>
        <v>-556.6625941506131</v>
      </c>
      <c r="H16" s="7">
        <f t="shared" si="2"/>
        <v>-931.2663370852961</v>
      </c>
      <c r="I16" s="7">
        <f t="shared" si="3"/>
        <v>-374.8026855713117</v>
      </c>
      <c r="J16" s="7">
        <f t="shared" si="4"/>
        <v>-1862.7316168072211</v>
      </c>
      <c r="K16" s="16">
        <f t="shared" si="5"/>
        <v>346976.90762532444</v>
      </c>
      <c r="L16" s="25">
        <f t="shared" si="11"/>
        <v>-186.27316168072213</v>
      </c>
      <c r="N16" s="7">
        <f t="shared" si="6"/>
        <v>103691.30140182737</v>
      </c>
      <c r="O16" s="7">
        <f t="shared" si="7"/>
        <v>173469.92497570324</v>
      </c>
      <c r="P16" s="7">
        <f t="shared" si="8"/>
        <v>69815.68124779381</v>
      </c>
      <c r="Q16" s="7">
        <f t="shared" si="9"/>
        <v>346976.90762532444</v>
      </c>
    </row>
    <row r="17" spans="1:17" ht="12.75">
      <c r="A17" s="1">
        <f t="shared" si="10"/>
        <v>6</v>
      </c>
      <c r="B17" s="27">
        <f>'3a Capital Consumption'!B17</f>
        <v>2174.374836286668</v>
      </c>
      <c r="C17" s="27">
        <f>'3a Capital Consumption'!C17</f>
        <v>1033.0712104549873</v>
      </c>
      <c r="D17" s="27">
        <f>'3a Capital Consumption'!D17</f>
        <v>1760.017955269638</v>
      </c>
      <c r="E17" s="7">
        <f t="shared" si="0"/>
        <v>4967.464002011294</v>
      </c>
      <c r="F17" s="7"/>
      <c r="G17" s="7">
        <f t="shared" si="1"/>
        <v>1174.3748362866681</v>
      </c>
      <c r="H17" s="7">
        <f t="shared" si="2"/>
        <v>-466.9287895450127</v>
      </c>
      <c r="I17" s="7">
        <f t="shared" si="3"/>
        <v>260.0179552696379</v>
      </c>
      <c r="J17" s="7">
        <f t="shared" si="4"/>
        <v>967.4640020112938</v>
      </c>
      <c r="K17" s="16">
        <f t="shared" si="5"/>
        <v>93598.65951877087</v>
      </c>
      <c r="L17" s="25">
        <f t="shared" si="11"/>
        <v>96.74640020112938</v>
      </c>
      <c r="N17" s="7">
        <f t="shared" si="6"/>
        <v>113616.53789752579</v>
      </c>
      <c r="O17" s="7">
        <f t="shared" si="7"/>
        <v>-45173.679538750715</v>
      </c>
      <c r="P17" s="7">
        <f t="shared" si="8"/>
        <v>25155.801159995746</v>
      </c>
      <c r="Q17" s="7">
        <f t="shared" si="9"/>
        <v>93598.65951877082</v>
      </c>
    </row>
    <row r="18" spans="1:17" ht="12.75">
      <c r="A18" s="1">
        <f t="shared" si="10"/>
        <v>7</v>
      </c>
      <c r="B18" s="27">
        <f>'3a Capital Consumption'!B18</f>
        <v>841.2372223312532</v>
      </c>
      <c r="C18" s="27">
        <f>'3a Capital Consumption'!C18</f>
        <v>952.7129338505592</v>
      </c>
      <c r="D18" s="27">
        <f>'3a Capital Consumption'!D18</f>
        <v>1168.784685677776</v>
      </c>
      <c r="E18" s="7">
        <f t="shared" si="0"/>
        <v>2962.7348418595884</v>
      </c>
      <c r="F18" s="7"/>
      <c r="G18" s="7">
        <f t="shared" si="1"/>
        <v>-158.76277766874682</v>
      </c>
      <c r="H18" s="7">
        <f t="shared" si="2"/>
        <v>-547.2870661494408</v>
      </c>
      <c r="I18" s="7">
        <f t="shared" si="3"/>
        <v>-331.215314322224</v>
      </c>
      <c r="J18" s="7">
        <f t="shared" si="4"/>
        <v>-1037.2651581404116</v>
      </c>
      <c r="K18" s="16">
        <f t="shared" si="5"/>
        <v>107591.90082920532</v>
      </c>
      <c r="L18" s="25">
        <f t="shared" si="11"/>
        <v>-103.72651581404116</v>
      </c>
      <c r="N18" s="7">
        <f t="shared" si="6"/>
        <v>16467.909768538368</v>
      </c>
      <c r="O18" s="7">
        <f t="shared" si="7"/>
        <v>56768.18052177016</v>
      </c>
      <c r="P18" s="7">
        <f t="shared" si="8"/>
        <v>34355.81053889678</v>
      </c>
      <c r="Q18" s="7">
        <f t="shared" si="9"/>
        <v>107591.9008292053</v>
      </c>
    </row>
    <row r="19" spans="1:17" ht="12.75">
      <c r="A19" s="1">
        <f t="shared" si="10"/>
        <v>8</v>
      </c>
      <c r="B19" s="27">
        <f>'3a Capital Consumption'!B19</f>
        <v>994.0131584506133</v>
      </c>
      <c r="C19" s="27">
        <f>'3a Capital Consumption'!C19</f>
        <v>1923.7855636489523</v>
      </c>
      <c r="D19" s="27">
        <f>'3a Capital Consumption'!D19</f>
        <v>1191.1314301427437</v>
      </c>
      <c r="E19" s="7">
        <f t="shared" si="0"/>
        <v>4108.930152242309</v>
      </c>
      <c r="F19" s="7"/>
      <c r="G19" s="7">
        <f t="shared" si="1"/>
        <v>-5.986841549386668</v>
      </c>
      <c r="H19" s="7">
        <f t="shared" si="2"/>
        <v>423.78556364895235</v>
      </c>
      <c r="I19" s="7">
        <f t="shared" si="3"/>
        <v>-308.86856985725626</v>
      </c>
      <c r="J19" s="7">
        <f t="shared" si="4"/>
        <v>108.9301522423093</v>
      </c>
      <c r="K19" s="16">
        <f t="shared" si="5"/>
        <v>1186.5778067532683</v>
      </c>
      <c r="L19" s="25">
        <f t="shared" si="11"/>
        <v>10.89301522423093</v>
      </c>
      <c r="N19" s="7">
        <f t="shared" si="6"/>
        <v>-65.21475614252726</v>
      </c>
      <c r="O19" s="7">
        <f t="shared" si="7"/>
        <v>4616.302596637324</v>
      </c>
      <c r="P19" s="7">
        <f t="shared" si="8"/>
        <v>-3364.5100337415274</v>
      </c>
      <c r="Q19" s="7">
        <f t="shared" si="9"/>
        <v>1186.5778067532697</v>
      </c>
    </row>
    <row r="20" spans="1:17" ht="12.75">
      <c r="A20" s="1">
        <f>A19+1</f>
        <v>9</v>
      </c>
      <c r="B20" s="27">
        <f>'3a Capital Consumption'!B20</f>
        <v>705.1109328100364</v>
      </c>
      <c r="C20" s="27">
        <f>'3a Capital Consumption'!C20</f>
        <v>1005.72209402636</v>
      </c>
      <c r="D20" s="27">
        <f>'3a Capital Consumption'!D20</f>
        <v>2003.2690146836535</v>
      </c>
      <c r="E20" s="7">
        <f>B20+C20+D20</f>
        <v>3714.10204152005</v>
      </c>
      <c r="F20" s="7"/>
      <c r="G20" s="7">
        <f t="shared" si="1"/>
        <v>-294.8890671899636</v>
      </c>
      <c r="H20" s="7">
        <f t="shared" si="2"/>
        <v>-494.27790597364003</v>
      </c>
      <c r="I20" s="7">
        <f t="shared" si="3"/>
        <v>503.2690146836535</v>
      </c>
      <c r="J20" s="7">
        <f t="shared" si="4"/>
        <v>-285.8979584799499</v>
      </c>
      <c r="K20" s="16">
        <f t="shared" si="5"/>
        <v>8173.764266300317</v>
      </c>
      <c r="L20" s="25">
        <f>K20/J20</f>
        <v>-28.589795847994992</v>
      </c>
      <c r="N20" s="7">
        <f aca="true" t="shared" si="12" ref="N20:P21">G20*$L20</f>
        <v>8430.818228766739</v>
      </c>
      <c r="O20" s="7">
        <f t="shared" si="12"/>
        <v>14131.304423960833</v>
      </c>
      <c r="P20" s="7">
        <f t="shared" si="12"/>
        <v>-14388.358386427248</v>
      </c>
      <c r="Q20" s="7">
        <f>N20+O20+P20</f>
        <v>8173.764266300324</v>
      </c>
    </row>
    <row r="21" spans="1:17" ht="12.75">
      <c r="A21" s="1">
        <f>A20+1</f>
        <v>10</v>
      </c>
      <c r="B21" s="27">
        <f>'3a Capital Consumption'!B21</f>
        <v>564.039637815724</v>
      </c>
      <c r="C21" s="27">
        <f>'3a Capital Consumption'!C21</f>
        <v>1193.6032989730566</v>
      </c>
      <c r="D21" s="27">
        <f>'3a Capital Consumption'!D21</f>
        <v>1374.0366473525244</v>
      </c>
      <c r="E21" s="7">
        <f>B21+C21+D21</f>
        <v>3131.679584141305</v>
      </c>
      <c r="F21" s="7"/>
      <c r="G21" s="7">
        <f t="shared" si="1"/>
        <v>-435.96036218427605</v>
      </c>
      <c r="H21" s="7">
        <f t="shared" si="2"/>
        <v>-306.39670102694345</v>
      </c>
      <c r="I21" s="7">
        <f t="shared" si="3"/>
        <v>-125.96335264747563</v>
      </c>
      <c r="J21" s="7">
        <f t="shared" si="4"/>
        <v>-868.320415858695</v>
      </c>
      <c r="K21" s="16">
        <f t="shared" si="5"/>
        <v>75398.03445970171</v>
      </c>
      <c r="L21" s="25">
        <f>K21/J21</f>
        <v>-86.8320415858695</v>
      </c>
      <c r="N21" s="7">
        <f t="shared" si="12"/>
        <v>37855.328298975786</v>
      </c>
      <c r="O21" s="7">
        <f t="shared" si="12"/>
        <v>26605.051085344778</v>
      </c>
      <c r="P21" s="7">
        <f t="shared" si="12"/>
        <v>10937.65507538115</v>
      </c>
      <c r="Q21" s="7">
        <f>N21+O21+P21</f>
        <v>75398.03445970171</v>
      </c>
    </row>
    <row r="22" spans="1:17" ht="12.75">
      <c r="A22" s="1">
        <f aca="true" t="shared" si="13" ref="A22:A31">A21+1</f>
        <v>11</v>
      </c>
      <c r="B22" s="27">
        <f>'3a Capital Consumption'!B22</f>
        <v>524.3831192657561</v>
      </c>
      <c r="C22" s="27">
        <f>'3a Capital Consumption'!C22</f>
        <v>857.4427708966646</v>
      </c>
      <c r="D22" s="27">
        <f>'3a Capital Consumption'!D22</f>
        <v>2007.2639929281584</v>
      </c>
      <c r="E22" s="7">
        <f aca="true" t="shared" si="14" ref="E22:E31">B22+C22+D22</f>
        <v>3389.089883090579</v>
      </c>
      <c r="F22" s="7"/>
      <c r="G22" s="7">
        <f aca="true" t="shared" si="15" ref="G22:G31">B22-B$38</f>
        <v>-475.61688073424386</v>
      </c>
      <c r="H22" s="7">
        <f aca="true" t="shared" si="16" ref="H22:H31">C22-C$38</f>
        <v>-642.5572291033354</v>
      </c>
      <c r="I22" s="7">
        <f aca="true" t="shared" si="17" ref="I22:I31">D22-D$38</f>
        <v>507.26399292815836</v>
      </c>
      <c r="J22" s="7">
        <f aca="true" t="shared" si="18" ref="J22:J31">E22-E$38</f>
        <v>-610.910116909421</v>
      </c>
      <c r="K22" s="16">
        <f t="shared" si="5"/>
        <v>37321.11709422825</v>
      </c>
      <c r="L22" s="25">
        <f aca="true" t="shared" si="19" ref="L22:L31">K22/J22</f>
        <v>-61.0910116909421</v>
      </c>
      <c r="N22" s="7">
        <f aca="true" t="shared" si="20" ref="N22:N31">G22*$L22</f>
        <v>29055.916421345108</v>
      </c>
      <c r="O22" s="7">
        <f aca="true" t="shared" si="21" ref="O22:O31">H22*$L22</f>
        <v>39254.47119525123</v>
      </c>
      <c r="P22" s="7">
        <f aca="true" t="shared" si="22" ref="P22:P31">I22*$L22</f>
        <v>-30989.270522368093</v>
      </c>
      <c r="Q22" s="7">
        <f aca="true" t="shared" si="23" ref="Q22:Q31">N22+O22+P22</f>
        <v>37321.11709422823</v>
      </c>
    </row>
    <row r="23" spans="1:17" ht="12.75">
      <c r="A23" s="1">
        <f t="shared" si="13"/>
        <v>12</v>
      </c>
      <c r="B23" s="27">
        <f>'3a Capital Consumption'!B23</f>
        <v>1087.4172380945704</v>
      </c>
      <c r="C23" s="27">
        <f>'3a Capital Consumption'!C23</f>
        <v>1101.0452873853026</v>
      </c>
      <c r="D23" s="27">
        <f>'3a Capital Consumption'!D23</f>
        <v>1951.906597253004</v>
      </c>
      <c r="E23" s="7">
        <f t="shared" si="14"/>
        <v>4140.369122732877</v>
      </c>
      <c r="F23" s="7"/>
      <c r="G23" s="7">
        <f t="shared" si="15"/>
        <v>87.4172380945704</v>
      </c>
      <c r="H23" s="7">
        <f t="shared" si="16"/>
        <v>-398.9547126146974</v>
      </c>
      <c r="I23" s="7">
        <f t="shared" si="17"/>
        <v>451.90659725300407</v>
      </c>
      <c r="J23" s="7">
        <f t="shared" si="18"/>
        <v>140.36912273287726</v>
      </c>
      <c r="K23" s="16">
        <f t="shared" si="5"/>
        <v>1970.3490616797562</v>
      </c>
      <c r="L23" s="25">
        <f t="shared" si="19"/>
        <v>14.036912273287728</v>
      </c>
      <c r="N23" s="7">
        <f t="shared" si="20"/>
        <v>1227.0681023065906</v>
      </c>
      <c r="O23" s="7">
        <f t="shared" si="21"/>
        <v>-5600.092301987224</v>
      </c>
      <c r="P23" s="7">
        <f t="shared" si="22"/>
        <v>6343.373261360387</v>
      </c>
      <c r="Q23" s="7">
        <f t="shared" si="23"/>
        <v>1970.3490616797535</v>
      </c>
    </row>
    <row r="24" spans="1:17" ht="12.75">
      <c r="A24" s="1">
        <f t="shared" si="13"/>
        <v>13</v>
      </c>
      <c r="B24" s="27">
        <f>'3a Capital Consumption'!B24</f>
        <v>1309.6446018253362</v>
      </c>
      <c r="C24" s="27">
        <f>'3a Capital Consumption'!C24</f>
        <v>2461.7300042678185</v>
      </c>
      <c r="D24" s="27">
        <f>'3a Capital Consumption'!D24</f>
        <v>3230.7099005043633</v>
      </c>
      <c r="E24" s="7">
        <f t="shared" si="14"/>
        <v>7002.084506597517</v>
      </c>
      <c r="F24" s="7"/>
      <c r="G24" s="7">
        <f t="shared" si="15"/>
        <v>309.64460182533617</v>
      </c>
      <c r="H24" s="7">
        <f t="shared" si="16"/>
        <v>961.7300042678185</v>
      </c>
      <c r="I24" s="7">
        <f t="shared" si="17"/>
        <v>1730.7099005043633</v>
      </c>
      <c r="J24" s="7">
        <f t="shared" si="18"/>
        <v>3002.0845065975172</v>
      </c>
      <c r="K24" s="16">
        <f t="shared" si="5"/>
        <v>901251.1384752858</v>
      </c>
      <c r="L24" s="25">
        <f t="shared" si="19"/>
        <v>300.20845065975175</v>
      </c>
      <c r="N24" s="7">
        <f t="shared" si="20"/>
        <v>92957.92616913992</v>
      </c>
      <c r="O24" s="7">
        <f t="shared" si="21"/>
        <v>288719.4745342382</v>
      </c>
      <c r="P24" s="7">
        <f t="shared" si="22"/>
        <v>519573.737771908</v>
      </c>
      <c r="Q24" s="7">
        <f t="shared" si="23"/>
        <v>901251.1384752861</v>
      </c>
    </row>
    <row r="25" spans="1:17" ht="12.75">
      <c r="A25" s="1">
        <f t="shared" si="13"/>
        <v>14</v>
      </c>
      <c r="B25" s="27">
        <f>'3a Capital Consumption'!B25</f>
        <v>384.48967570890267</v>
      </c>
      <c r="C25" s="27">
        <f>'3a Capital Consumption'!C25</f>
        <v>957.6188369725286</v>
      </c>
      <c r="D25" s="27">
        <f>'3a Capital Consumption'!D25</f>
        <v>854.2449061575703</v>
      </c>
      <c r="E25" s="7">
        <f t="shared" si="14"/>
        <v>2196.3534188390013</v>
      </c>
      <c r="F25" s="7"/>
      <c r="G25" s="7">
        <f t="shared" si="15"/>
        <v>-615.5103242910973</v>
      </c>
      <c r="H25" s="7">
        <f t="shared" si="16"/>
        <v>-542.3811630274714</v>
      </c>
      <c r="I25" s="7">
        <f t="shared" si="17"/>
        <v>-645.7550938424297</v>
      </c>
      <c r="J25" s="7">
        <f t="shared" si="18"/>
        <v>-1803.6465811609987</v>
      </c>
      <c r="K25" s="16">
        <f t="shared" si="5"/>
        <v>325314.098973376</v>
      </c>
      <c r="L25" s="25">
        <f t="shared" si="19"/>
        <v>-180.36465811609992</v>
      </c>
      <c r="N25" s="7">
        <f t="shared" si="20"/>
        <v>111016.30920769356</v>
      </c>
      <c r="O25" s="7">
        <f t="shared" si="21"/>
        <v>97826.39303806254</v>
      </c>
      <c r="P25" s="7">
        <f t="shared" si="22"/>
        <v>116471.39672761985</v>
      </c>
      <c r="Q25" s="7">
        <f t="shared" si="23"/>
        <v>325314.098973376</v>
      </c>
    </row>
    <row r="26" spans="1:17" ht="12.75">
      <c r="A26" s="1">
        <f t="shared" si="13"/>
        <v>15</v>
      </c>
      <c r="B26" s="27">
        <f>'3a Capital Consumption'!B26</f>
        <v>749.6966084352214</v>
      </c>
      <c r="C26" s="27">
        <f>'3a Capital Consumption'!C26</f>
        <v>3652.9047826986694</v>
      </c>
      <c r="D26" s="27">
        <f>'3a Capital Consumption'!D26</f>
        <v>1085.951160875827</v>
      </c>
      <c r="E26" s="7">
        <f t="shared" si="14"/>
        <v>5488.552552009718</v>
      </c>
      <c r="F26" s="7"/>
      <c r="G26" s="7">
        <f t="shared" si="15"/>
        <v>-250.30339156477862</v>
      </c>
      <c r="H26" s="7">
        <f t="shared" si="16"/>
        <v>2152.9047826986694</v>
      </c>
      <c r="I26" s="7">
        <f t="shared" si="17"/>
        <v>-414.0488391241729</v>
      </c>
      <c r="J26" s="7">
        <f t="shared" si="18"/>
        <v>1488.552552009718</v>
      </c>
      <c r="K26" s="16">
        <f t="shared" si="5"/>
        <v>221578.87000946444</v>
      </c>
      <c r="L26" s="25">
        <f t="shared" si="19"/>
        <v>148.8552552009718</v>
      </c>
      <c r="N26" s="7">
        <f t="shared" si="20"/>
        <v>-37258.9752290439</v>
      </c>
      <c r="O26" s="7">
        <f t="shared" si="21"/>
        <v>320471.1908520032</v>
      </c>
      <c r="P26" s="7">
        <f t="shared" si="22"/>
        <v>-61633.34561349488</v>
      </c>
      <c r="Q26" s="7">
        <f t="shared" si="23"/>
        <v>221578.8700094644</v>
      </c>
    </row>
    <row r="27" spans="1:17" ht="12.75">
      <c r="A27" s="1">
        <f t="shared" si="13"/>
        <v>16</v>
      </c>
      <c r="B27" s="27">
        <f>'3a Capital Consumption'!B27</f>
        <v>442.37581570000236</v>
      </c>
      <c r="C27" s="27">
        <f>'3a Capital Consumption'!C27</f>
        <v>1883.0659929517128</v>
      </c>
      <c r="D27" s="27">
        <f>'3a Capital Consumption'!D27</f>
        <v>1060.34978121644</v>
      </c>
      <c r="E27" s="7">
        <f t="shared" si="14"/>
        <v>3385.7915898681554</v>
      </c>
      <c r="F27" s="7"/>
      <c r="G27" s="7">
        <f t="shared" si="15"/>
        <v>-557.6241842999976</v>
      </c>
      <c r="H27" s="7">
        <f t="shared" si="16"/>
        <v>383.0659929517128</v>
      </c>
      <c r="I27" s="7">
        <f t="shared" si="17"/>
        <v>-439.6502187835599</v>
      </c>
      <c r="J27" s="7">
        <f t="shared" si="18"/>
        <v>-614.2084101318446</v>
      </c>
      <c r="K27" s="16">
        <f t="shared" si="5"/>
        <v>37725.19710766883</v>
      </c>
      <c r="L27" s="25">
        <f t="shared" si="19"/>
        <v>-61.420841013184464</v>
      </c>
      <c r="N27" s="7">
        <f t="shared" si="20"/>
        <v>34249.74636899683</v>
      </c>
      <c r="O27" s="7">
        <f t="shared" si="21"/>
        <v>-23528.235450644792</v>
      </c>
      <c r="P27" s="7">
        <f t="shared" si="22"/>
        <v>27003.6861893168</v>
      </c>
      <c r="Q27" s="7">
        <f t="shared" si="23"/>
        <v>37725.197107668835</v>
      </c>
    </row>
    <row r="28" spans="1:17" ht="12.75">
      <c r="A28" s="1">
        <f t="shared" si="13"/>
        <v>17</v>
      </c>
      <c r="B28" s="27">
        <f>'3a Capital Consumption'!B28</f>
        <v>1619.042452631954</v>
      </c>
      <c r="C28" s="27">
        <f>'3a Capital Consumption'!C28</f>
        <v>908.4752786820547</v>
      </c>
      <c r="D28" s="27">
        <f>'3a Capital Consumption'!D28</f>
        <v>753.5743734203395</v>
      </c>
      <c r="E28" s="7">
        <f t="shared" si="14"/>
        <v>3281.092104734348</v>
      </c>
      <c r="F28" s="7"/>
      <c r="G28" s="7">
        <f t="shared" si="15"/>
        <v>619.0424526319539</v>
      </c>
      <c r="H28" s="7">
        <f t="shared" si="16"/>
        <v>-591.5247213179453</v>
      </c>
      <c r="I28" s="7">
        <f t="shared" si="17"/>
        <v>-746.4256265796605</v>
      </c>
      <c r="J28" s="7">
        <f t="shared" si="18"/>
        <v>-718.9078952656519</v>
      </c>
      <c r="K28" s="16">
        <f t="shared" si="5"/>
        <v>51682.85618752895</v>
      </c>
      <c r="L28" s="25">
        <f t="shared" si="19"/>
        <v>-71.8907895265652</v>
      </c>
      <c r="N28" s="7">
        <f t="shared" si="20"/>
        <v>-44503.450670172504</v>
      </c>
      <c r="O28" s="7">
        <f t="shared" si="21"/>
        <v>42525.179240028534</v>
      </c>
      <c r="P28" s="7">
        <f t="shared" si="22"/>
        <v>53661.12761767292</v>
      </c>
      <c r="Q28" s="7">
        <f t="shared" si="23"/>
        <v>51682.85618752895</v>
      </c>
    </row>
    <row r="29" spans="1:17" ht="12.75">
      <c r="A29" s="1">
        <f t="shared" si="13"/>
        <v>18</v>
      </c>
      <c r="B29" s="27">
        <f>'3a Capital Consumption'!B29</f>
        <v>581.8734006479381</v>
      </c>
      <c r="C29" s="27">
        <f>'3a Capital Consumption'!C29</f>
        <v>1982.0357728566732</v>
      </c>
      <c r="D29" s="27">
        <f>'3a Capital Consumption'!D29</f>
        <v>1853.8500747928392</v>
      </c>
      <c r="E29" s="7">
        <f t="shared" si="14"/>
        <v>4417.7592482974505</v>
      </c>
      <c r="F29" s="7"/>
      <c r="G29" s="7">
        <f t="shared" si="15"/>
        <v>-418.12659935206193</v>
      </c>
      <c r="H29" s="7">
        <f t="shared" si="16"/>
        <v>482.03577285667325</v>
      </c>
      <c r="I29" s="7">
        <f t="shared" si="17"/>
        <v>353.8500747928392</v>
      </c>
      <c r="J29" s="7">
        <f t="shared" si="18"/>
        <v>417.75924829745054</v>
      </c>
      <c r="K29" s="16">
        <f t="shared" si="5"/>
        <v>17452.278953805097</v>
      </c>
      <c r="L29" s="25">
        <f t="shared" si="19"/>
        <v>41.775924829745065</v>
      </c>
      <c r="N29" s="7">
        <f t="shared" si="20"/>
        <v>-17467.62538384867</v>
      </c>
      <c r="O29" s="7">
        <f t="shared" si="21"/>
        <v>20137.49021210845</v>
      </c>
      <c r="P29" s="7">
        <f t="shared" si="22"/>
        <v>14782.414125545321</v>
      </c>
      <c r="Q29" s="7">
        <f t="shared" si="23"/>
        <v>17452.2789538051</v>
      </c>
    </row>
    <row r="30" spans="1:17" ht="12.75">
      <c r="A30" s="1">
        <f t="shared" si="13"/>
        <v>19</v>
      </c>
      <c r="B30" s="27">
        <f>'3a Capital Consumption'!B30</f>
        <v>1090.6394916619247</v>
      </c>
      <c r="C30" s="27">
        <f>'3a Capital Consumption'!C30</f>
        <v>1069.2298104153103</v>
      </c>
      <c r="D30" s="27">
        <f>'3a Capital Consumption'!D30</f>
        <v>3850.8967885377515</v>
      </c>
      <c r="E30" s="7">
        <f t="shared" si="14"/>
        <v>6010.766090614987</v>
      </c>
      <c r="F30" s="7"/>
      <c r="G30" s="7">
        <f t="shared" si="15"/>
        <v>90.6394916619247</v>
      </c>
      <c r="H30" s="7">
        <f t="shared" si="16"/>
        <v>-430.77018958468966</v>
      </c>
      <c r="I30" s="7">
        <f t="shared" si="17"/>
        <v>2350.8967885377515</v>
      </c>
      <c r="J30" s="7">
        <f t="shared" si="18"/>
        <v>2010.7660906149868</v>
      </c>
      <c r="K30" s="16">
        <f t="shared" si="5"/>
        <v>404318.02711670776</v>
      </c>
      <c r="L30" s="25">
        <f t="shared" si="19"/>
        <v>201.0766090614987</v>
      </c>
      <c r="N30" s="7">
        <f t="shared" si="20"/>
        <v>18225.4816304378</v>
      </c>
      <c r="O30" s="7">
        <f t="shared" si="21"/>
        <v>-86617.80900646832</v>
      </c>
      <c r="P30" s="7">
        <f t="shared" si="22"/>
        <v>472710.3544927382</v>
      </c>
      <c r="Q30" s="7">
        <f t="shared" si="23"/>
        <v>404318.0271167077</v>
      </c>
    </row>
    <row r="31" spans="1:17" ht="12.75">
      <c r="A31" s="1">
        <f t="shared" si="13"/>
        <v>20</v>
      </c>
      <c r="B31" s="27">
        <f>'3a Capital Consumption'!B31</f>
        <v>1808.2064737352982</v>
      </c>
      <c r="C31" s="27">
        <f>'3a Capital Consumption'!C31</f>
        <v>2564.0296437564375</v>
      </c>
      <c r="D31" s="27">
        <f>'3a Capital Consumption'!D31</f>
        <v>501.04415647811675</v>
      </c>
      <c r="E31" s="7">
        <f t="shared" si="14"/>
        <v>4873.280273969853</v>
      </c>
      <c r="F31" s="7"/>
      <c r="G31" s="7">
        <f t="shared" si="15"/>
        <v>808.2064737352982</v>
      </c>
      <c r="H31" s="7">
        <f t="shared" si="16"/>
        <v>1064.0296437564375</v>
      </c>
      <c r="I31" s="7">
        <f t="shared" si="17"/>
        <v>-998.9558435218833</v>
      </c>
      <c r="J31" s="7">
        <f t="shared" si="18"/>
        <v>873.2802739698527</v>
      </c>
      <c r="K31" s="16">
        <f t="shared" si="5"/>
        <v>76261.8436904861</v>
      </c>
      <c r="L31" s="25">
        <f t="shared" si="19"/>
        <v>87.32802739698528</v>
      </c>
      <c r="N31" s="7">
        <f t="shared" si="20"/>
        <v>70579.07708077699</v>
      </c>
      <c r="O31" s="7">
        <f t="shared" si="21"/>
        <v>92919.60988116666</v>
      </c>
      <c r="P31" s="7">
        <f t="shared" si="22"/>
        <v>-87236.84327145756</v>
      </c>
      <c r="Q31" s="7">
        <f t="shared" si="23"/>
        <v>76261.84369048607</v>
      </c>
    </row>
    <row r="32" spans="2:16" ht="12.75">
      <c r="B32" s="7"/>
      <c r="C32" s="7"/>
      <c r="D32" s="7"/>
      <c r="F32" s="7"/>
      <c r="G32" s="7"/>
      <c r="H32" s="7"/>
      <c r="I32" s="7"/>
      <c r="J32" s="7"/>
      <c r="N32" s="7"/>
      <c r="O32" s="7"/>
      <c r="P32" s="7"/>
    </row>
    <row r="33" spans="1:17" ht="12.75">
      <c r="A33" s="1" t="s">
        <v>11</v>
      </c>
      <c r="B33" s="7">
        <f>AVERAGE(B12:B31)</f>
        <v>923.8678044358272</v>
      </c>
      <c r="C33" s="7">
        <f>AVERAGE(C12:C31)</f>
        <v>1528.4213134972615</v>
      </c>
      <c r="D33" s="7">
        <f>AVERAGE(D12:D31)</f>
        <v>1515.3084250181664</v>
      </c>
      <c r="E33" s="7">
        <f>AVERAGE(E12:E31)</f>
        <v>3967.5975429512555</v>
      </c>
      <c r="F33" s="7"/>
      <c r="G33" s="7">
        <f>AVERAGE(G12:G31)</f>
        <v>-76.13219556417279</v>
      </c>
      <c r="H33" s="7">
        <f>AVERAGE(H12:H31)</f>
        <v>28.421313497261757</v>
      </c>
      <c r="I33" s="7">
        <f>AVERAGE(I12:I31)</f>
        <v>15.308425018166622</v>
      </c>
      <c r="J33" s="7">
        <f>AVERAGE(J12:J31)</f>
        <v>-32.402457048744395</v>
      </c>
      <c r="K33" s="16">
        <f>AVERAGE(K12:K31)</f>
        <v>142258.30953989693</v>
      </c>
      <c r="L33" s="2"/>
      <c r="N33" s="7">
        <f>AVERAGE(N12:N31)</f>
        <v>28906.662001378554</v>
      </c>
      <c r="O33" s="7">
        <f>AVERAGE(O12:O31)</f>
        <v>52509.92506333947</v>
      </c>
      <c r="P33" s="7">
        <f>AVERAGE(P12:P31)</f>
        <v>60841.72247517887</v>
      </c>
      <c r="Q33" s="16">
        <f>N33+O33+P33</f>
        <v>142258.3095398969</v>
      </c>
    </row>
    <row r="34" spans="7:16" ht="12.75">
      <c r="G34" s="7"/>
      <c r="H34" s="7"/>
      <c r="I34" s="7"/>
      <c r="N34" s="21">
        <f>N33/$Q33</f>
        <v>0.20319840784605672</v>
      </c>
      <c r="O34" s="21">
        <f>O33/$Q33</f>
        <v>0.3691167513038165</v>
      </c>
      <c r="P34" s="21">
        <f>P33/$Q33</f>
        <v>0.4276848408501267</v>
      </c>
    </row>
    <row r="35" spans="2:11" ht="12.75">
      <c r="B35" s="7"/>
      <c r="C35" s="7"/>
      <c r="D35" s="7"/>
      <c r="F35" s="7"/>
      <c r="G35" s="7"/>
      <c r="H35" s="7"/>
      <c r="I35" s="7"/>
      <c r="J35" s="7"/>
      <c r="K35" t="str">
        <f>"*  r(x) = "&amp;TEXT(Risk_to_Variance,"00.00%")&amp;"x(X-μ)^2"</f>
        <v>*  r(x) = 10.00%x(X-μ)^2</v>
      </c>
    </row>
    <row r="36" spans="1:14" ht="12.75">
      <c r="A36" t="s">
        <v>15</v>
      </c>
      <c r="B36" s="27">
        <f>'3a Capital Consumption'!B36</f>
        <v>1250</v>
      </c>
      <c r="C36" s="27">
        <f>'3a Capital Consumption'!C36</f>
        <v>1875</v>
      </c>
      <c r="D36" s="27">
        <f>'3a Capital Consumption'!D36</f>
        <v>2150</v>
      </c>
      <c r="E36" s="7">
        <f>B36+C36+D36</f>
        <v>5275</v>
      </c>
      <c r="F36" s="7"/>
      <c r="G36" s="7"/>
      <c r="J36" s="7"/>
      <c r="K36" t="str">
        <f>"** "&amp;L10&amp;" = "&amp;K10&amp;"/["&amp;J10&amp;"]"</f>
        <v>** L(x) = r(x)/[X-μ]</v>
      </c>
      <c r="N36" t="s">
        <v>55</v>
      </c>
    </row>
    <row r="37" spans="1:17" ht="12.75">
      <c r="A37" t="s">
        <v>25</v>
      </c>
      <c r="B37" s="2">
        <f>B38/B36</f>
        <v>0.8</v>
      </c>
      <c r="C37" s="2">
        <f>C38/C36</f>
        <v>0.8</v>
      </c>
      <c r="D37" s="2">
        <f>D38/D36</f>
        <v>0.6976744186046512</v>
      </c>
      <c r="E37" s="2">
        <f>E38/E36</f>
        <v>0.7582938388625592</v>
      </c>
      <c r="F37" s="7"/>
      <c r="G37" s="7"/>
      <c r="N37" s="7"/>
      <c r="O37" s="7"/>
      <c r="P37" s="7"/>
      <c r="Q37" s="7"/>
    </row>
    <row r="38" spans="1:16" ht="15.75">
      <c r="A38" t="s">
        <v>76</v>
      </c>
      <c r="B38" s="27">
        <f>'3a Capital Consumption'!B38</f>
        <v>1000</v>
      </c>
      <c r="C38" s="27">
        <f>'3a Capital Consumption'!C38</f>
        <v>1500</v>
      </c>
      <c r="D38" s="27">
        <f>'3a Capital Consumption'!D38</f>
        <v>1500</v>
      </c>
      <c r="E38" s="7">
        <f>B38+C38+D38</f>
        <v>4000</v>
      </c>
      <c r="F38" s="8"/>
      <c r="I38" s="3" t="s">
        <v>57</v>
      </c>
      <c r="J38" s="12">
        <v>0.1</v>
      </c>
      <c r="N38" s="21"/>
      <c r="O38" s="21"/>
      <c r="P38" s="21"/>
    </row>
    <row r="39" spans="1:10" ht="12.75">
      <c r="A39" t="s">
        <v>7</v>
      </c>
      <c r="B39" s="7">
        <f>B38*B40</f>
        <v>500</v>
      </c>
      <c r="C39" s="7">
        <f>C38*C40</f>
        <v>750</v>
      </c>
      <c r="D39" s="7">
        <f>D38*D40</f>
        <v>1500</v>
      </c>
      <c r="E39" s="7"/>
      <c r="F39" s="7"/>
      <c r="G39" s="7"/>
      <c r="H39" s="7"/>
      <c r="I39" s="7"/>
      <c r="J39" s="7"/>
    </row>
    <row r="40" spans="1:10" ht="12.75">
      <c r="A40" t="s">
        <v>10</v>
      </c>
      <c r="B40" s="28">
        <f>'3a Capital Consumption'!B40</f>
        <v>0.5</v>
      </c>
      <c r="C40" s="28">
        <f>'3a Capital Consumption'!C40</f>
        <v>0.5</v>
      </c>
      <c r="D40" s="28">
        <f>'3a Capital Consumption'!D40</f>
        <v>1</v>
      </c>
      <c r="E40" s="9"/>
      <c r="F40" s="9"/>
      <c r="G40" s="9"/>
      <c r="H40" s="9"/>
      <c r="I40" s="9"/>
      <c r="J40" s="9"/>
    </row>
    <row r="42" spans="1:10" ht="12.75">
      <c r="A42" t="s">
        <v>8</v>
      </c>
      <c r="B42" s="10">
        <f>LN(B38)-B43^2/2</f>
        <v>6.7961835033250315</v>
      </c>
      <c r="C42" s="10">
        <f>LN(C38)-C43^2/2</f>
        <v>7.201648611433196</v>
      </c>
      <c r="D42" s="10">
        <f>LN(D38)-D43^2/2</f>
        <v>6.966646796810329</v>
      </c>
      <c r="E42" s="10"/>
      <c r="F42" s="10"/>
      <c r="G42" s="10"/>
      <c r="H42" s="10"/>
      <c r="I42" s="10"/>
      <c r="J42" s="10"/>
    </row>
    <row r="43" spans="1:10" ht="12.75">
      <c r="A43" t="s">
        <v>9</v>
      </c>
      <c r="B43" s="10">
        <f>LN(B40^2+1)^0.5</f>
        <v>0.47238072707743883</v>
      </c>
      <c r="C43" s="10">
        <f>LN(C40^2+1)^0.5</f>
        <v>0.47238072707743883</v>
      </c>
      <c r="D43" s="10">
        <f>LN(D40^2+1)^0.5</f>
        <v>0.8325546111576977</v>
      </c>
      <c r="E43" s="10"/>
      <c r="F43" s="10"/>
      <c r="G43" s="10"/>
      <c r="H43" s="10"/>
      <c r="I43" s="10"/>
      <c r="J43" s="10"/>
    </row>
  </sheetData>
  <printOptions/>
  <pageMargins left="0.5" right="0.5" top="0.75" bottom="0.75" header="0.25" footer="0.25"/>
  <pageSetup fitToHeight="1" fitToWidth="1" horizontalDpi="600" verticalDpi="600" orientation="landscape" scale="82" r:id="rId1"/>
  <ignoredErrors>
    <ignoredError sqref="E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Munich 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dclarkr</dc:creator>
  <cp:keywords/>
  <dc:description/>
  <cp:lastModifiedBy>cmarx</cp:lastModifiedBy>
  <cp:lastPrinted>2005-06-24T17:43:52Z</cp:lastPrinted>
  <dcterms:created xsi:type="dcterms:W3CDTF">2004-11-16T22:01:11Z</dcterms:created>
  <dcterms:modified xsi:type="dcterms:W3CDTF">2005-10-03T19:02:14Z</dcterms:modified>
  <cp:category/>
  <cp:version/>
  <cp:contentType/>
  <cp:contentStatus/>
</cp:coreProperties>
</file>